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rigato\OneDrive - Istituto di Istruzione Secondaria Superiore Alessandro Greppi\Desktop\PREVENTIVI_   GARE\GARE 2023\VIAGGI ISTRUZIONE 2023\VIAGGI 2023-2024\"/>
    </mc:Choice>
  </mc:AlternateContent>
  <bookViews>
    <workbookView xWindow="0" yWindow="0" windowWidth="28740" windowHeight="11910" activeTab="2"/>
  </bookViews>
  <sheets>
    <sheet name="LEGGIMI" sheetId="4" r:id="rId1"/>
    <sheet name="Fasce" sheetId="1" r:id="rId2"/>
    <sheet name="Comparazione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C14" i="1" s="1"/>
  <c r="J16" i="2" s="1"/>
  <c r="B15" i="1"/>
  <c r="C15" i="1" s="1"/>
  <c r="J17" i="2" s="1"/>
  <c r="B16" i="1"/>
  <c r="C16" i="1" s="1"/>
  <c r="J18" i="2" s="1"/>
  <c r="B17" i="1"/>
  <c r="C17" i="1" s="1"/>
  <c r="B18" i="1"/>
  <c r="C18" i="1" s="1"/>
  <c r="B19" i="1"/>
  <c r="C19" i="1" s="1"/>
  <c r="J21" i="2" s="1"/>
  <c r="B20" i="1"/>
  <c r="C20" i="1" s="1"/>
  <c r="B21" i="1"/>
  <c r="C21" i="1" s="1"/>
  <c r="B22" i="1"/>
  <c r="C22" i="1" s="1"/>
  <c r="J24" i="2" s="1"/>
  <c r="B23" i="1"/>
  <c r="C23" i="1" s="1"/>
  <c r="J25" i="2" s="1"/>
  <c r="B24" i="1"/>
  <c r="C24" i="1" s="1"/>
  <c r="B25" i="1"/>
  <c r="C25" i="1" s="1"/>
  <c r="J27" i="2" s="1"/>
  <c r="B26" i="1"/>
  <c r="C26" i="1" s="1"/>
  <c r="B27" i="1"/>
  <c r="C27" i="1" s="1"/>
  <c r="J29" i="2" s="1"/>
  <c r="B28" i="1"/>
  <c r="C28" i="1" s="1"/>
  <c r="B29" i="1"/>
  <c r="C29" i="1" s="1"/>
  <c r="J31" i="2" s="1"/>
  <c r="B30" i="1"/>
  <c r="C30" i="1" s="1"/>
  <c r="J32" i="2" s="1"/>
  <c r="B31" i="1"/>
  <c r="C31" i="1" s="1"/>
  <c r="B32" i="1"/>
  <c r="C32" i="1" s="1"/>
  <c r="D4" i="1"/>
  <c r="K6" i="2" s="1"/>
  <c r="D5" i="1"/>
  <c r="K7" i="2" s="1"/>
  <c r="D6" i="1"/>
  <c r="K8" i="2" s="1"/>
  <c r="D7" i="1"/>
  <c r="K9" i="2" s="1"/>
  <c r="D8" i="1"/>
  <c r="K10" i="2" s="1"/>
  <c r="D9" i="1"/>
  <c r="K11" i="2" s="1"/>
  <c r="D10" i="1"/>
  <c r="K12" i="2" s="1"/>
  <c r="D11" i="1"/>
  <c r="K13" i="2" s="1"/>
  <c r="D12" i="1"/>
  <c r="K14" i="2" s="1"/>
  <c r="D13" i="1"/>
  <c r="K15" i="2" s="1"/>
  <c r="D14" i="1"/>
  <c r="D15" i="1"/>
  <c r="D16" i="1"/>
  <c r="D17" i="1"/>
  <c r="K19" i="2" s="1"/>
  <c r="D18" i="1"/>
  <c r="K20" i="2" s="1"/>
  <c r="D19" i="1"/>
  <c r="K21" i="2" s="1"/>
  <c r="D20" i="1"/>
  <c r="K22" i="2" s="1"/>
  <c r="D21" i="1"/>
  <c r="K23" i="2" s="1"/>
  <c r="D22" i="1"/>
  <c r="K24" i="2" s="1"/>
  <c r="D23" i="1"/>
  <c r="D24" i="1"/>
  <c r="K26" i="2" s="1"/>
  <c r="D25" i="1"/>
  <c r="K27" i="2" s="1"/>
  <c r="D26" i="1"/>
  <c r="K28" i="2" s="1"/>
  <c r="D27" i="1"/>
  <c r="K29" i="2" s="1"/>
  <c r="D28" i="1"/>
  <c r="K30" i="2" s="1"/>
  <c r="D29" i="1"/>
  <c r="K31" i="2" s="1"/>
  <c r="D30" i="1"/>
  <c r="K32" i="2" s="1"/>
  <c r="D31" i="1"/>
  <c r="D32" i="1"/>
  <c r="K34" i="2" s="1"/>
  <c r="K17" i="2"/>
  <c r="K18" i="2"/>
  <c r="K25" i="2"/>
  <c r="K33" i="2"/>
  <c r="E31" i="1" l="1"/>
  <c r="L29" i="2"/>
  <c r="L21" i="2"/>
  <c r="L31" i="2"/>
  <c r="L27" i="2"/>
  <c r="E21" i="1"/>
  <c r="E14" i="1"/>
  <c r="E32" i="1"/>
  <c r="E24" i="1"/>
  <c r="L18" i="2"/>
  <c r="L25" i="2"/>
  <c r="E18" i="1"/>
  <c r="J19" i="2"/>
  <c r="L19" i="2" s="1"/>
  <c r="E17" i="1"/>
  <c r="J28" i="2"/>
  <c r="L28" i="2" s="1"/>
  <c r="E26" i="1"/>
  <c r="E28" i="1"/>
  <c r="E20" i="1"/>
  <c r="L32" i="2"/>
  <c r="L24" i="2"/>
  <c r="E16" i="1"/>
  <c r="E29" i="1"/>
  <c r="J26" i="2"/>
  <c r="L26" i="2" s="1"/>
  <c r="J23" i="2"/>
  <c r="L23" i="2" s="1"/>
  <c r="E30" i="1"/>
  <c r="J33" i="2"/>
  <c r="L33" i="2" s="1"/>
  <c r="J20" i="2"/>
  <c r="L20" i="2" s="1"/>
  <c r="E25" i="1"/>
  <c r="E19" i="1"/>
  <c r="E27" i="1"/>
  <c r="E23" i="1"/>
  <c r="E15" i="1"/>
  <c r="E22" i="1"/>
  <c r="L17" i="2"/>
  <c r="K16" i="2"/>
  <c r="L16" i="2" s="1"/>
  <c r="J34" i="2"/>
  <c r="L34" i="2" s="1"/>
  <c r="J30" i="2"/>
  <c r="L30" i="2" s="1"/>
  <c r="J22" i="2"/>
  <c r="L22" i="2" s="1"/>
  <c r="B3" i="1" l="1"/>
  <c r="D3" i="1" l="1"/>
  <c r="K5" i="2" s="1"/>
  <c r="F31" i="1"/>
  <c r="M33" i="2" s="1"/>
  <c r="F30" i="1"/>
  <c r="M32" i="2" s="1"/>
  <c r="F29" i="1"/>
  <c r="M31" i="2" s="1"/>
  <c r="F28" i="1"/>
  <c r="M30" i="2" s="1"/>
  <c r="F27" i="1"/>
  <c r="M29" i="2" s="1"/>
  <c r="F26" i="1"/>
  <c r="M28" i="2" s="1"/>
  <c r="F25" i="1"/>
  <c r="M27" i="2" s="1"/>
  <c r="F24" i="1"/>
  <c r="M26" i="2" s="1"/>
  <c r="F23" i="1"/>
  <c r="M25" i="2" s="1"/>
  <c r="F22" i="1"/>
  <c r="M24" i="2" s="1"/>
  <c r="F21" i="1"/>
  <c r="M23" i="2" s="1"/>
  <c r="F20" i="1"/>
  <c r="M22" i="2" s="1"/>
  <c r="I19" i="1"/>
  <c r="F19" i="1"/>
  <c r="M21" i="2" s="1"/>
  <c r="F18" i="1"/>
  <c r="M20" i="2" s="1"/>
  <c r="F17" i="1"/>
  <c r="M19" i="2" s="1"/>
  <c r="F16" i="1"/>
  <c r="M18" i="2" s="1"/>
  <c r="P3" i="1"/>
  <c r="P6" i="1" l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15" i="1"/>
  <c r="Q15" i="1" s="1"/>
  <c r="P23" i="1"/>
  <c r="Q23" i="1" s="1"/>
  <c r="P35" i="1"/>
  <c r="Q35" i="1" s="1"/>
  <c r="P7" i="1"/>
  <c r="Q7" i="1" s="1"/>
  <c r="P8" i="1"/>
  <c r="Q8" i="1" s="1"/>
  <c r="P12" i="1"/>
  <c r="Q12" i="1" s="1"/>
  <c r="P16" i="1"/>
  <c r="Q16" i="1" s="1"/>
  <c r="P20" i="1"/>
  <c r="Q20" i="1" s="1"/>
  <c r="P24" i="1"/>
  <c r="Q24" i="1" s="1"/>
  <c r="P28" i="1"/>
  <c r="Q28" i="1" s="1"/>
  <c r="P32" i="1"/>
  <c r="Q32" i="1" s="1"/>
  <c r="P11" i="1"/>
  <c r="Q11" i="1" s="1"/>
  <c r="P31" i="1"/>
  <c r="Q31" i="1" s="1"/>
  <c r="P5" i="1"/>
  <c r="Q5" i="1" s="1"/>
  <c r="P9" i="1"/>
  <c r="Q9" i="1" s="1"/>
  <c r="P13" i="1"/>
  <c r="Q13" i="1" s="1"/>
  <c r="P17" i="1"/>
  <c r="Q17" i="1" s="1"/>
  <c r="P21" i="1"/>
  <c r="Q21" i="1" s="1"/>
  <c r="P25" i="1"/>
  <c r="Q25" i="1" s="1"/>
  <c r="P29" i="1"/>
  <c r="Q29" i="1" s="1"/>
  <c r="P33" i="1"/>
  <c r="Q33" i="1" s="1"/>
  <c r="P19" i="1"/>
  <c r="Q19" i="1" s="1"/>
  <c r="P27" i="1"/>
  <c r="Q27" i="1" s="1"/>
  <c r="P4" i="1"/>
  <c r="Q4" i="1" s="1"/>
  <c r="I5" i="1"/>
  <c r="I3" i="1"/>
  <c r="C12" i="1" l="1"/>
  <c r="E12" i="1" s="1"/>
  <c r="I17" i="1"/>
  <c r="N20" i="1" s="1"/>
  <c r="M21" i="1" s="1"/>
  <c r="I7" i="1"/>
  <c r="M3" i="1"/>
  <c r="M4" i="1"/>
  <c r="J14" i="2" l="1"/>
  <c r="L14" i="2" s="1"/>
  <c r="N15" i="1"/>
  <c r="N12" i="1"/>
  <c r="M13" i="1" s="1"/>
  <c r="N7" i="1"/>
  <c r="M8" i="1" s="1"/>
  <c r="N9" i="1"/>
  <c r="M10" i="1" s="1"/>
  <c r="N10" i="1"/>
  <c r="M11" i="1" s="1"/>
  <c r="N33" i="1"/>
  <c r="M34" i="1" s="1"/>
  <c r="N17" i="1"/>
  <c r="M18" i="1" s="1"/>
  <c r="N25" i="1"/>
  <c r="M26" i="1" s="1"/>
  <c r="N26" i="1"/>
  <c r="M27" i="1" s="1"/>
  <c r="N21" i="1"/>
  <c r="M22" i="1" s="1"/>
  <c r="N5" i="1"/>
  <c r="M6" i="1" s="1"/>
  <c r="N32" i="1"/>
  <c r="M33" i="1" s="1"/>
  <c r="N16" i="1"/>
  <c r="M17" i="1" s="1"/>
  <c r="N18" i="1"/>
  <c r="M19" i="1" s="1"/>
  <c r="N35" i="1"/>
  <c r="N24" i="1"/>
  <c r="M25" i="1" s="1"/>
  <c r="N30" i="1"/>
  <c r="M31" i="1" s="1"/>
  <c r="N29" i="1"/>
  <c r="M30" i="1" s="1"/>
  <c r="N27" i="1"/>
  <c r="M28" i="1" s="1"/>
  <c r="N8" i="1"/>
  <c r="M9" i="1" s="1"/>
  <c r="N22" i="1"/>
  <c r="M23" i="1" s="1"/>
  <c r="N13" i="1"/>
  <c r="M14" i="1" s="1"/>
  <c r="N19" i="1"/>
  <c r="M20" i="1" s="1"/>
  <c r="N31" i="1"/>
  <c r="M32" i="1" s="1"/>
  <c r="N14" i="1"/>
  <c r="M15" i="1" s="1"/>
  <c r="N28" i="1"/>
  <c r="M29" i="1" s="1"/>
  <c r="N11" i="1"/>
  <c r="M12" i="1" s="1"/>
  <c r="N34" i="1"/>
  <c r="M35" i="1" s="1"/>
  <c r="N23" i="1"/>
  <c r="M24" i="1" s="1"/>
  <c r="N6" i="1"/>
  <c r="M7" i="1" s="1"/>
  <c r="N4" i="1"/>
  <c r="C10" i="1" l="1"/>
  <c r="J12" i="2" s="1"/>
  <c r="L12" i="2" s="1"/>
  <c r="C13" i="1"/>
  <c r="C8" i="1"/>
  <c r="E8" i="1" s="1"/>
  <c r="C11" i="1"/>
  <c r="C5" i="1"/>
  <c r="C9" i="1"/>
  <c r="C4" i="1"/>
  <c r="C7" i="1"/>
  <c r="C3" i="1"/>
  <c r="C6" i="1"/>
  <c r="M5" i="1"/>
  <c r="E10" i="1" l="1"/>
  <c r="J15" i="2"/>
  <c r="L15" i="2" s="1"/>
  <c r="E13" i="1"/>
  <c r="J10" i="2"/>
  <c r="L10" i="2" s="1"/>
  <c r="J13" i="2"/>
  <c r="L13" i="2" s="1"/>
  <c r="E11" i="1"/>
  <c r="J9" i="2"/>
  <c r="L9" i="2" s="1"/>
  <c r="E7" i="1"/>
  <c r="J6" i="2"/>
  <c r="L6" i="2" s="1"/>
  <c r="M16" i="1"/>
  <c r="E4" i="1" l="1"/>
  <c r="J8" i="2"/>
  <c r="L8" i="2" s="1"/>
  <c r="E6" i="1"/>
  <c r="J11" i="2"/>
  <c r="L11" i="2" s="1"/>
  <c r="E9" i="1"/>
  <c r="J7" i="2"/>
  <c r="L7" i="2" s="1"/>
  <c r="E5" i="1"/>
  <c r="J5" i="2"/>
  <c r="L5" i="2" s="1"/>
  <c r="E3" i="1"/>
  <c r="I23" i="1" l="1"/>
  <c r="F15" i="1" l="1"/>
  <c r="M17" i="2" s="1"/>
  <c r="F32" i="1"/>
  <c r="M34" i="2" s="1"/>
  <c r="F13" i="1"/>
  <c r="M15" i="2" s="1"/>
  <c r="F14" i="1"/>
  <c r="M16" i="2" s="1"/>
  <c r="F11" i="1"/>
  <c r="M13" i="2" s="1"/>
  <c r="F12" i="1"/>
  <c r="M14" i="2" s="1"/>
  <c r="F9" i="1"/>
  <c r="M11" i="2" s="1"/>
  <c r="F4" i="1"/>
  <c r="M6" i="2" s="1"/>
  <c r="F10" i="1"/>
  <c r="M12" i="2" s="1"/>
  <c r="F8" i="1"/>
  <c r="M10" i="2" s="1"/>
  <c r="F5" i="1"/>
  <c r="M7" i="2" s="1"/>
  <c r="F6" i="1"/>
  <c r="M8" i="2" s="1"/>
  <c r="F3" i="1"/>
  <c r="M5" i="2" s="1"/>
  <c r="F7" i="1"/>
  <c r="M9" i="2" s="1"/>
</calcChain>
</file>

<file path=xl/sharedStrings.xml><?xml version="1.0" encoding="utf-8"?>
<sst xmlns="http://schemas.openxmlformats.org/spreadsheetml/2006/main" count="136" uniqueCount="136">
  <si>
    <t>Punteggio fascia</t>
  </si>
  <si>
    <t>Punteggio Economica</t>
  </si>
  <si>
    <t>Punteggio Tecnica</t>
  </si>
  <si>
    <t>Punteggio Totale</t>
  </si>
  <si>
    <t>Vincitore Gara</t>
  </si>
  <si>
    <t>Offerta 1</t>
  </si>
  <si>
    <t>Offerta Minima</t>
  </si>
  <si>
    <t>Vincitore Economica</t>
  </si>
  <si>
    <t>Offerta 2</t>
  </si>
  <si>
    <t>Fascia 1</t>
  </si>
  <si>
    <t>Offerta 3</t>
  </si>
  <si>
    <t>Offerta Massima</t>
  </si>
  <si>
    <t>Fascia 2</t>
  </si>
  <si>
    <t>Offerta 4</t>
  </si>
  <si>
    <t>Fascia 3</t>
  </si>
  <si>
    <t>Offerta 5</t>
  </si>
  <si>
    <t>Punteggio max</t>
  </si>
  <si>
    <t>Fascia 4</t>
  </si>
  <si>
    <t>Offerta 6</t>
  </si>
  <si>
    <t>Fascia 5</t>
  </si>
  <si>
    <t>Offerta 7</t>
  </si>
  <si>
    <t>Punteggio min</t>
  </si>
  <si>
    <t>Fascia 6</t>
  </si>
  <si>
    <t>Offerta 8</t>
  </si>
  <si>
    <t>Fascia 7</t>
  </si>
  <si>
    <t>Offerta 9</t>
  </si>
  <si>
    <t>Numero di fasce</t>
  </si>
  <si>
    <t>Fascia 8</t>
  </si>
  <si>
    <t>Offerta 10</t>
  </si>
  <si>
    <t>Fascia 9</t>
  </si>
  <si>
    <t>Intervallo di fascia</t>
  </si>
  <si>
    <t>Fascia 10</t>
  </si>
  <si>
    <t>Fascia 11</t>
  </si>
  <si>
    <t>Intervalo di punteggio</t>
  </si>
  <si>
    <t>Fascia 12</t>
  </si>
  <si>
    <t>Offerta Economica</t>
  </si>
  <si>
    <t>Forbice fascia econimica</t>
  </si>
  <si>
    <t>Offerta Punteggio Totale max</t>
  </si>
  <si>
    <t>OFFERTA 1</t>
  </si>
  <si>
    <t>OFFERTA 2</t>
  </si>
  <si>
    <t>OFFERTA 3</t>
  </si>
  <si>
    <t>OFFERTA 4</t>
  </si>
  <si>
    <t>OFFERTA 5</t>
  </si>
  <si>
    <t>OFFERTA 6</t>
  </si>
  <si>
    <t>OFFERTA 7</t>
  </si>
  <si>
    <t>OFFERTA 8</t>
  </si>
  <si>
    <t>OFFERTA 9</t>
  </si>
  <si>
    <t>OFFERTA 10</t>
  </si>
  <si>
    <t>PUNTEGGIO ECONOMICO</t>
  </si>
  <si>
    <t>PUNTEGGIO TOTALE</t>
  </si>
  <si>
    <t>OFFERTA ECONOMICA (EURO)</t>
  </si>
  <si>
    <t>NON MODIFICARE IL FOGLIO INTITOLATO "Fasce"</t>
  </si>
  <si>
    <t>Utilizzare SOLO il foglio "Comparazione"</t>
  </si>
  <si>
    <t>Nel foglio "Comparazione" utilizzare SOLO le celle evidenziate in giallo (al momento della stampa togliere l'evidenziatore giallo)</t>
  </si>
  <si>
    <t>STANCO Giuseppe</t>
  </si>
  <si>
    <t>TAVERNESE Michele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</si>
  <si>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</si>
  <si>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</si>
  <si>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</si>
  <si>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</si>
  <si>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</si>
  <si>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</si>
  <si>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</si>
  <si>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</si>
  <si>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</si>
  <si>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</si>
  <si>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</si>
  <si>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</si>
  <si>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</si>
  <si>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</si>
  <si>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</si>
  <si>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</si>
  <si>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</si>
  <si>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</si>
  <si>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</si>
  <si>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</si>
  <si>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</si>
  <si>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</si>
  <si>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</si>
  <si>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</si>
  <si>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</si>
  <si>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</si>
  <si>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</si>
  <si>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</si>
  <si>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</si>
  <si>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</si>
  <si>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</si>
  <si>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</si>
  <si>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</si>
  <si>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</si>
  <si>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</si>
  <si>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</si>
  <si>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</si>
  <si>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</si>
  <si>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</si>
  <si>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</si>
  <si>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Fascia 13</t>
  </si>
  <si>
    <t>Fascia 14</t>
  </si>
  <si>
    <t>Fascia 15</t>
  </si>
  <si>
    <t>Fascia 16</t>
  </si>
  <si>
    <t>Fascia 17</t>
  </si>
  <si>
    <t>Fascia 18</t>
  </si>
  <si>
    <t>Fascia 19</t>
  </si>
  <si>
    <t>Fascia 20</t>
  </si>
  <si>
    <t>Fascia 21</t>
  </si>
  <si>
    <t>Fascia 22</t>
  </si>
  <si>
    <t>Fascia 23</t>
  </si>
  <si>
    <t>Fascia 24</t>
  </si>
  <si>
    <t>Fascia 25</t>
  </si>
  <si>
    <t>Fascia 26</t>
  </si>
  <si>
    <t>Fascia 27</t>
  </si>
  <si>
    <t>Fascia 28</t>
  </si>
  <si>
    <t>Fascia 29</t>
  </si>
  <si>
    <t>Fascia 30</t>
  </si>
  <si>
    <t>Fascia 31</t>
  </si>
  <si>
    <t>Fascia 32</t>
  </si>
  <si>
    <t>PUNTEGGIO TECNICO</t>
  </si>
  <si>
    <t>VINCITORE</t>
  </si>
  <si>
    <r>
      <t xml:space="preserve">Nel caso si desideri modificare alcuni parametri rivolgersi al </t>
    </r>
    <r>
      <rPr>
        <b/>
        <sz val="14"/>
        <color rgb="FFFF0000"/>
        <rFont val="Times New Roman"/>
        <family val="1"/>
      </rPr>
      <t>Prof. TAVERNESE MICHELE</t>
    </r>
    <r>
      <rPr>
        <sz val="14"/>
        <color theme="1"/>
        <rFont val="Times New Roman"/>
        <family val="1"/>
      </rPr>
      <t xml:space="preserve"> che ha realizzato il presente programma</t>
    </r>
  </si>
  <si>
    <r>
      <t xml:space="preserve">LA SCELTA DEL NUMERO DI FASCE è STATA FATTA CONSIDERANDO CHE IL NUMERO MASSIMO DI OFFERTE CHE VERRANNO ACCETTATE è 30; CON TRENTADUE FASCE SI ASSICURA UNA ADEGUATA DISTRIBUZIONE DELLE VARIE OFFERTE INTERMEDIE EVITANDO CHE MOLTE OFFERTE POSSANO CONSEGUIRE LO STESSO PUNTEGGIO ECONOMICO-                                                                                                                                    LA SCELTA DI ATTRIBUIRE 12 PUNTI ALL'OFFERTA MASSIMA è STATA FATTA CONSIDERANDO CHE IL PUNTEGGIO MINIMO OTTENIBILE NELL'OFFERTA TECNICA (PARI A </t>
    </r>
    <r>
      <rPr>
        <b/>
        <sz val="14"/>
        <color rgb="FFFF0000"/>
        <rFont val="Times New Roman"/>
        <family val="1"/>
      </rPr>
      <t>29</t>
    </r>
    <r>
      <rPr>
        <sz val="14"/>
        <color theme="1"/>
        <rFont val="Times New Roman"/>
        <family val="1"/>
      </rPr>
      <t xml:space="preserve"> PUNTI) CORRISPONDE A CIRCA IL 45 % DEL PUNTEGGIO MASSIMO CONSEGUIBILE (70 PUNTI); TALE PERCENTUALE è STATA MANTENUTA PER EQUITà ANCHE NELLA DETERMINAZIONE DEL PUNTEGGIO MINIMO PER L'OFFERTA ECONOMICA       </t>
    </r>
  </si>
  <si>
    <t>VOCE A.1</t>
  </si>
  <si>
    <t>VOCE B.1</t>
  </si>
  <si>
    <t>VOCE B.2</t>
  </si>
  <si>
    <t>VOCE C.1</t>
  </si>
  <si>
    <t>VOCE C.2</t>
  </si>
  <si>
    <t>VOCE D.1</t>
  </si>
  <si>
    <t>DARIO MARIA CRIPPA</t>
  </si>
  <si>
    <t>OPERATORE ECONOMICO</t>
  </si>
  <si>
    <t>LOTTO 3 - GALWAY</t>
  </si>
  <si>
    <t>Competittion travel srl</t>
  </si>
  <si>
    <t>Balajo’ by Nova viaggi</t>
  </si>
  <si>
    <r>
      <t xml:space="preserve">I </t>
    </r>
    <r>
      <rPr>
        <sz val="12"/>
        <color theme="1"/>
        <rFont val="Times New Roman"/>
        <family val="1"/>
      </rPr>
      <t>Viaggi di Cristhour srl</t>
    </r>
  </si>
  <si>
    <t>Stippelli viaggi srl</t>
  </si>
  <si>
    <t>Lucignolo viaggi</t>
  </si>
  <si>
    <t>Incoming management srl</t>
  </si>
  <si>
    <t>Geko Viaggi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</si>
</sst>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1111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2" borderId="1" xfId="0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1" sqref="A11"/>
    </sheetView>
  </sheetViews>
  <sheetFormatPr defaultRowHeight="18.75" x14ac:dyDescent="0.25"/>
  <cols>
    <col min="1" max="1" width="164.85546875" style="27" customWidth="1"/>
    <col min="2" max="16384" width="9.140625" style="27"/>
  </cols>
  <sheetData>
    <row r="2" spans="1:1" x14ac:dyDescent="0.25">
      <c r="A2" s="26" t="s">
        <v>51</v>
      </c>
    </row>
    <row r="4" spans="1:1" x14ac:dyDescent="0.25">
      <c r="A4" s="27" t="s">
        <v>118</v>
      </c>
    </row>
    <row r="6" spans="1:1" x14ac:dyDescent="0.25">
      <c r="A6" s="26" t="s">
        <v>52</v>
      </c>
    </row>
    <row r="8" spans="1:1" x14ac:dyDescent="0.25">
      <c r="A8" s="27" t="s">
        <v>53</v>
      </c>
    </row>
    <row r="10" spans="1:1" ht="131.25" x14ac:dyDescent="0.25">
      <c r="A10" s="27" t="s">
        <v>119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B32" sqref="B32"/>
    </sheetView>
  </sheetViews>
  <sheetFormatPr defaultColWidth="11.42578125" defaultRowHeight="15.75" x14ac:dyDescent="0.25"/>
  <cols>
    <col min="1" max="1" width="11.42578125" style="1"/>
    <col min="2" max="2" width="21.5703125" style="2" customWidth="1"/>
    <col min="3" max="3" width="14" style="3" customWidth="1"/>
    <col min="4" max="4" width="14" style="2" customWidth="1"/>
    <col min="5" max="5" width="14" style="3" customWidth="1"/>
    <col min="6" max="6" width="14" style="1" customWidth="1"/>
    <col min="7" max="7" width="6.140625" style="1" customWidth="1"/>
    <col min="8" max="8" width="28.140625" style="1" customWidth="1"/>
    <col min="9" max="9" width="17.140625" style="1" customWidth="1"/>
    <col min="10" max="10" width="11.42578125" style="1"/>
    <col min="11" max="11" width="11.5703125" style="1" customWidth="1"/>
    <col min="12" max="12" width="4.42578125" style="1" customWidth="1"/>
    <col min="13" max="13" width="14.42578125" style="1" customWidth="1"/>
    <col min="14" max="14" width="15" style="1" customWidth="1"/>
    <col min="15" max="15" width="6.140625" style="1" customWidth="1"/>
    <col min="16" max="16" width="17.7109375" style="4" customWidth="1"/>
    <col min="17" max="16384" width="11.42578125" style="1"/>
  </cols>
  <sheetData>
    <row r="1" spans="1:17" x14ac:dyDescent="0.25">
      <c r="P1" s="4" t="s">
        <v>0</v>
      </c>
    </row>
    <row r="2" spans="1:17" ht="31.5" x14ac:dyDescent="0.25">
      <c r="B2" s="5" t="s">
        <v>35</v>
      </c>
      <c r="C2" s="6" t="s">
        <v>1</v>
      </c>
      <c r="D2" s="5" t="s">
        <v>2</v>
      </c>
      <c r="E2" s="6" t="s">
        <v>3</v>
      </c>
      <c r="F2" s="7" t="s">
        <v>4</v>
      </c>
    </row>
    <row r="3" spans="1:17" ht="31.5" x14ac:dyDescent="0.25">
      <c r="A3" s="1" t="s">
        <v>5</v>
      </c>
      <c r="B3" s="8">
        <f>IF(Comparazione!I5&lt;&gt;"",Comparazione!I5,"")</f>
        <v>630</v>
      </c>
      <c r="C3" s="3">
        <f>IF(B3="",0,IF(B3=$I$3,$I$11,IF(B3&lt;=$N$4,$P$4,IF(B3&lt;=$N$5,$P$5,IF(B3&lt;=$N$6,$P$6,IF(B3&lt;=$N$7,$P$7,IF(B3&lt;=$N$8,$P$8,IF(B3&lt;=$N$9,$P$9,IF(B3&lt;=$N$10,$P$10,IF(B3&lt;=$N$11,$P$11,IF(B3&lt;=$N$12,$P$12,IF(B3&lt;=$N$13,$P$13,IF(B3&lt;=$N$14,$P$14,IF(B3&lt;=$N$15,$P$15,IF(B3&lt;=$N$16,$P$16,IF(B3&lt;=$N$17,$P$17,IF(B3&lt;=$N$18,$P$18,IF(B3&lt;=$N$19,$P$19,IF(B3&lt;=$N$20,$P$20,IF(B3&lt;=$N$21,$P$21,IF(B3&lt;=$N$22,$P$22,IF(B3&lt;=$N$23,$P$23,IF(B3&lt;=$N$24,$P$24,IF(B3&lt;=$N$25,$P$25,IF(B3&lt;=$N$26,$P$26,IF(B3&lt;=$N$27,$P$27,IF(B3&lt;=$N$28,$P$28,IF(B3&lt;=$N$29,$P$29,IF(B3&lt;=$N$30,$P$30,IF(B3&lt;=$N$31,$P$31,IF(B3&lt;=$N$32,$P$32,IF(B3&lt;=$N$33,$P$33,IF(B3&lt;=$N$34,$P$34,IF(B3&lt;=$N$35,$P$35,))))))))))))))))))))))))))))))))))</f>
        <v>21.5625</v>
      </c>
      <c r="D3" s="9">
        <f>SUM(Comparazione!C5:H5)</f>
        <v>24</v>
      </c>
      <c r="E3" s="3">
        <f>C3+D3</f>
        <v>45.5625</v>
      </c>
      <c r="F3" s="10" t="str">
        <f t="shared" ref="F3:F32" si="0">IF(E3=0,"",IF(E3=$I$23,A3,""))</f>
        <v/>
      </c>
      <c r="H3" s="1" t="s">
        <v>6</v>
      </c>
      <c r="I3" s="10">
        <f>MIN(B3:B32)</f>
        <v>492</v>
      </c>
      <c r="K3" s="7" t="s">
        <v>7</v>
      </c>
      <c r="M3" s="10">
        <f>I3</f>
        <v>492</v>
      </c>
      <c r="P3" s="4">
        <f>I11</f>
        <v>30</v>
      </c>
    </row>
    <row r="4" spans="1:17" x14ac:dyDescent="0.25">
      <c r="A4" s="1" t="s">
        <v>8</v>
      </c>
      <c r="B4" s="8">
        <f>IF(Comparazione!I6&lt;&gt;"",Comparazione!I6,"")</f>
        <v>560</v>
      </c>
      <c r="C4" s="3">
        <f t="shared" ref="C4:C32" si="1">IF(B4="",0,IF(B4=$I$3,$I$11,IF(B4&lt;=$N$4,$P$4,IF(B4&lt;=$N$5,$P$5,IF(B4&lt;=$N$6,$P$6,IF(B4&lt;=$N$7,$P$7,IF(B4&lt;=$N$8,$P$8,IF(B4&lt;=$N$9,$P$9,IF(B4&lt;=$N$10,$P$10,IF(B4&lt;=$N$11,$P$11,IF(B4&lt;=$N$12,$P$12,IF(B4&lt;=$N$13,$P$13,IF(B4&lt;=$N$14,$P$14,IF(B4&lt;=$N$15,$P$15,IF(B4&lt;=$N$16,$P$16,IF(B4&lt;=$N$17,$P$17,IF(B4&lt;=$N$18,$P$18,IF(B4&lt;=$N$19,$P$19,IF(B4&lt;=$N$20,$P$20,IF(B4&lt;=$N$21,$P$21,IF(B4&lt;=$N$22,$P$22,IF(B4&lt;=$N$23,$P$23,IF(B4&lt;=$N$24,$P$24,IF(B4&lt;=$N$25,$P$25,IF(B4&lt;=$N$26,$P$26,IF(B4&lt;=$N$27,$P$27,IF(B4&lt;=$N$28,$P$28,IF(B4&lt;=$N$29,$P$29,IF(B4&lt;=$N$30,$P$30,IF(B4&lt;=$N$31,$P$31,IF(B4&lt;=$N$32,$P$32,IF(B4&lt;=$N$33,$P$33,IF(B4&lt;=$N$34,$P$34,IF(B4&lt;=$N$35,$P$35,))))))))))))))))))))))))))))))))))</f>
        <v>25.5</v>
      </c>
      <c r="D4" s="9">
        <f>SUM(Comparazione!C6:H6)</f>
        <v>24</v>
      </c>
      <c r="E4" s="3">
        <f t="shared" ref="E4:E32" si="2">C4+D4</f>
        <v>49.5</v>
      </c>
      <c r="F4" s="10" t="str">
        <f>IF(E4=0,"",IF(E4=$I$23,A4,""))</f>
        <v/>
      </c>
      <c r="K4" s="1" t="s">
        <v>9</v>
      </c>
      <c r="L4" s="1">
        <v>1</v>
      </c>
      <c r="M4" s="10">
        <f>I3</f>
        <v>492</v>
      </c>
      <c r="N4" s="10">
        <f>$I$3+$I$17*L4</f>
        <v>501.625</v>
      </c>
      <c r="P4" s="4">
        <f>IF(L4&lt;=$I$15,$I$11-$I$19*L4,"")</f>
        <v>29.4375</v>
      </c>
      <c r="Q4" s="1">
        <f>IF(P4="",0,1)</f>
        <v>1</v>
      </c>
    </row>
    <row r="5" spans="1:17" x14ac:dyDescent="0.25">
      <c r="A5" s="1" t="s">
        <v>10</v>
      </c>
      <c r="B5" s="8">
        <f>IF(Comparazione!I7&lt;&gt;"",Comparazione!I7,"")</f>
        <v>537</v>
      </c>
      <c r="C5" s="3">
        <f t="shared" si="1"/>
        <v>27.1875</v>
      </c>
      <c r="D5" s="9">
        <f>SUM(Comparazione!C7:H7)</f>
        <v>24</v>
      </c>
      <c r="E5" s="3">
        <f t="shared" si="2"/>
        <v>51.1875</v>
      </c>
      <c r="F5" s="10" t="str">
        <f t="shared" si="0"/>
        <v>Offerta 3</v>
      </c>
      <c r="H5" s="1" t="s">
        <v>11</v>
      </c>
      <c r="I5" s="10">
        <f>MAX(B3:B32)</f>
        <v>800</v>
      </c>
      <c r="K5" s="1" t="s">
        <v>12</v>
      </c>
      <c r="L5" s="1">
        <v>2</v>
      </c>
      <c r="M5" s="10">
        <f>N4</f>
        <v>501.625</v>
      </c>
      <c r="N5" s="10">
        <f t="shared" ref="N5:N35" si="3">$I$3+$I$17*L5</f>
        <v>511.25</v>
      </c>
      <c r="P5" s="4">
        <f t="shared" ref="P5:P35" si="4">IF(L5&lt;=$I$15,$I$11-$I$19*L5,"")</f>
        <v>28.875</v>
      </c>
      <c r="Q5" s="1">
        <f>IF(P5="",0,2)</f>
        <v>2</v>
      </c>
    </row>
    <row r="6" spans="1:17" x14ac:dyDescent="0.25">
      <c r="A6" s="1" t="s">
        <v>13</v>
      </c>
      <c r="B6" s="8">
        <f>IF(Comparazione!I8&lt;&gt;"",Comparazione!I8,"")</f>
        <v>492</v>
      </c>
      <c r="C6" s="3">
        <f t="shared" si="1"/>
        <v>30</v>
      </c>
      <c r="D6" s="9">
        <f>SUM(Comparazione!C8:H8)</f>
        <v>18</v>
      </c>
      <c r="E6" s="3">
        <f t="shared" si="2"/>
        <v>48</v>
      </c>
      <c r="F6" s="10" t="str">
        <f t="shared" si="0"/>
        <v/>
      </c>
      <c r="K6" s="1" t="s">
        <v>14</v>
      </c>
      <c r="L6" s="1">
        <v>3</v>
      </c>
      <c r="M6" s="10">
        <f t="shared" ref="M6:M35" si="5">N5</f>
        <v>511.25</v>
      </c>
      <c r="N6" s="10">
        <f t="shared" si="3"/>
        <v>520.875</v>
      </c>
      <c r="P6" s="4">
        <f t="shared" si="4"/>
        <v>28.3125</v>
      </c>
      <c r="Q6" s="1">
        <f>IF(P6="",0,3)</f>
        <v>3</v>
      </c>
    </row>
    <row r="7" spans="1:17" x14ac:dyDescent="0.25">
      <c r="A7" s="1" t="s">
        <v>15</v>
      </c>
      <c r="B7" s="8">
        <f>IF(Comparazione!I9&lt;&gt;"",Comparazione!I9,"")</f>
        <v>567</v>
      </c>
      <c r="C7" s="3">
        <f t="shared" si="1"/>
        <v>25.5</v>
      </c>
      <c r="D7" s="9">
        <f>SUM(Comparazione!C9:H9)</f>
        <v>22</v>
      </c>
      <c r="E7" s="3">
        <f t="shared" si="2"/>
        <v>47.5</v>
      </c>
      <c r="F7" s="10" t="str">
        <f t="shared" si="0"/>
        <v/>
      </c>
      <c r="H7" s="1" t="s">
        <v>36</v>
      </c>
      <c r="I7" s="10">
        <f>I5-I3</f>
        <v>308</v>
      </c>
      <c r="K7" s="1" t="s">
        <v>17</v>
      </c>
      <c r="L7" s="1">
        <v>4</v>
      </c>
      <c r="M7" s="10">
        <f t="shared" si="5"/>
        <v>520.875</v>
      </c>
      <c r="N7" s="10">
        <f t="shared" si="3"/>
        <v>530.5</v>
      </c>
      <c r="P7" s="4">
        <f t="shared" si="4"/>
        <v>27.75</v>
      </c>
      <c r="Q7" s="1">
        <f>IF(P7="",0,4)</f>
        <v>4</v>
      </c>
    </row>
    <row r="8" spans="1:17" x14ac:dyDescent="0.25">
      <c r="A8" s="1" t="s">
        <v>18</v>
      </c>
      <c r="B8" s="8">
        <f>IF(Comparazione!I10&lt;&gt;"",Comparazione!I10,"")</f>
        <v>800</v>
      </c>
      <c r="C8" s="3">
        <f t="shared" si="1"/>
        <v>12</v>
      </c>
      <c r="D8" s="9">
        <f>SUM(Comparazione!C10:H10)</f>
        <v>23</v>
      </c>
      <c r="E8" s="3">
        <f t="shared" si="2"/>
        <v>35</v>
      </c>
      <c r="F8" s="10" t="str">
        <f t="shared" si="0"/>
        <v/>
      </c>
      <c r="K8" s="1" t="s">
        <v>19</v>
      </c>
      <c r="L8" s="1">
        <v>5</v>
      </c>
      <c r="M8" s="10">
        <f t="shared" si="5"/>
        <v>530.5</v>
      </c>
      <c r="N8" s="10">
        <f t="shared" si="3"/>
        <v>540.125</v>
      </c>
      <c r="P8" s="4">
        <f t="shared" si="4"/>
        <v>27.1875</v>
      </c>
      <c r="Q8" s="1">
        <f>IF(P8="",0,5)</f>
        <v>5</v>
      </c>
    </row>
    <row r="9" spans="1:17" x14ac:dyDescent="0.25">
      <c r="A9" s="1" t="s">
        <v>20</v>
      </c>
      <c r="B9" s="8">
        <f>IF(Comparazione!I11&lt;&gt;"",Comparazione!I11,"")</f>
        <v>613</v>
      </c>
      <c r="C9" s="3">
        <f t="shared" si="1"/>
        <v>22.6875</v>
      </c>
      <c r="D9" s="9">
        <f>SUM(Comparazione!C11:H11)</f>
        <v>19</v>
      </c>
      <c r="E9" s="3">
        <f t="shared" si="2"/>
        <v>41.6875</v>
      </c>
      <c r="F9" s="10" t="str">
        <f t="shared" si="0"/>
        <v/>
      </c>
      <c r="K9" s="1" t="s">
        <v>22</v>
      </c>
      <c r="L9" s="1">
        <v>6</v>
      </c>
      <c r="M9" s="10">
        <f t="shared" si="5"/>
        <v>540.125</v>
      </c>
      <c r="N9" s="10">
        <f t="shared" si="3"/>
        <v>549.75</v>
      </c>
      <c r="P9" s="4">
        <f t="shared" si="4"/>
        <v>26.625</v>
      </c>
      <c r="Q9" s="1">
        <f>IF(P9="",0,6)</f>
        <v>6</v>
      </c>
    </row>
    <row r="10" spans="1:17" x14ac:dyDescent="0.25">
      <c r="A10" s="1" t="s">
        <v>23</v>
      </c>
      <c r="B10" s="8" t="str">
        <f>IF(Comparazione!I12&lt;&gt;"",Comparazione!I12,"")</f>
        <v/>
      </c>
      <c r="C10" s="3">
        <f t="shared" si="1"/>
        <v>0</v>
      </c>
      <c r="D10" s="9">
        <f>SUM(Comparazione!C12:H12)</f>
        <v>0</v>
      </c>
      <c r="E10" s="3">
        <f t="shared" si="2"/>
        <v>0</v>
      </c>
      <c r="F10" s="10" t="str">
        <f t="shared" si="0"/>
        <v/>
      </c>
      <c r="K10" s="1" t="s">
        <v>24</v>
      </c>
      <c r="L10" s="1">
        <v>7</v>
      </c>
      <c r="M10" s="10">
        <f t="shared" si="5"/>
        <v>549.75</v>
      </c>
      <c r="N10" s="10">
        <f t="shared" si="3"/>
        <v>559.375</v>
      </c>
      <c r="P10" s="4">
        <f t="shared" si="4"/>
        <v>26.0625</v>
      </c>
      <c r="Q10" s="1">
        <f>IF(P10="",0,7)</f>
        <v>7</v>
      </c>
    </row>
    <row r="11" spans="1:17" x14ac:dyDescent="0.25">
      <c r="A11" s="1" t="s">
        <v>25</v>
      </c>
      <c r="B11" s="8" t="str">
        <f>IF(Comparazione!I13&lt;&gt;"",Comparazione!I13,"")</f>
        <v/>
      </c>
      <c r="C11" s="3">
        <f t="shared" si="1"/>
        <v>0</v>
      </c>
      <c r="D11" s="9">
        <f>SUM(Comparazione!C13:H13)</f>
        <v>0</v>
      </c>
      <c r="E11" s="3">
        <f t="shared" si="2"/>
        <v>0</v>
      </c>
      <c r="F11" s="10" t="str">
        <f t="shared" si="0"/>
        <v/>
      </c>
      <c r="H11" s="1" t="s">
        <v>16</v>
      </c>
      <c r="I11" s="11">
        <v>30</v>
      </c>
      <c r="K11" s="1" t="s">
        <v>27</v>
      </c>
      <c r="L11" s="1">
        <v>8</v>
      </c>
      <c r="M11" s="10">
        <f t="shared" si="5"/>
        <v>559.375</v>
      </c>
      <c r="N11" s="10">
        <f t="shared" si="3"/>
        <v>569</v>
      </c>
      <c r="P11" s="4">
        <f t="shared" si="4"/>
        <v>25.5</v>
      </c>
      <c r="Q11" s="1">
        <f>IF(P11="",0,8)</f>
        <v>8</v>
      </c>
    </row>
    <row r="12" spans="1:17" x14ac:dyDescent="0.25">
      <c r="A12" s="1" t="s">
        <v>28</v>
      </c>
      <c r="B12" s="8" t="str">
        <f>IF(Comparazione!I14&lt;&gt;"",Comparazione!I14,"")</f>
        <v/>
      </c>
      <c r="C12" s="3">
        <f t="shared" si="1"/>
        <v>0</v>
      </c>
      <c r="D12" s="9">
        <f>SUM(Comparazione!C14:H14)</f>
        <v>0</v>
      </c>
      <c r="E12" s="3">
        <f t="shared" si="2"/>
        <v>0</v>
      </c>
      <c r="F12" s="10" t="str">
        <f t="shared" si="0"/>
        <v/>
      </c>
      <c r="I12" s="12"/>
      <c r="K12" s="1" t="s">
        <v>29</v>
      </c>
      <c r="L12" s="1">
        <v>9</v>
      </c>
      <c r="M12" s="10">
        <f t="shared" si="5"/>
        <v>569</v>
      </c>
      <c r="N12" s="10">
        <f t="shared" si="3"/>
        <v>578.625</v>
      </c>
      <c r="P12" s="4">
        <f t="shared" si="4"/>
        <v>24.9375</v>
      </c>
      <c r="Q12" s="1">
        <f>IF(P12="",0,9)</f>
        <v>9</v>
      </c>
    </row>
    <row r="13" spans="1:17" x14ac:dyDescent="0.25">
      <c r="A13" s="1" t="s">
        <v>56</v>
      </c>
      <c r="B13" s="8" t="str">
        <f>IF(Comparazione!I15&lt;&gt;"",Comparazione!I15,"")</f>
        <v/>
      </c>
      <c r="C13" s="3">
        <f t="shared" si="1"/>
        <v>0</v>
      </c>
      <c r="D13" s="9">
        <f>SUM(Comparazione!C15:H15)</f>
        <v>0</v>
      </c>
      <c r="E13" s="3">
        <f t="shared" si="2"/>
        <v>0</v>
      </c>
      <c r="F13" s="10" t="str">
        <f t="shared" si="0"/>
        <v/>
      </c>
      <c r="H13" s="1" t="s">
        <v>21</v>
      </c>
      <c r="I13" s="11">
        <v>12</v>
      </c>
      <c r="K13" s="1" t="s">
        <v>31</v>
      </c>
      <c r="L13" s="1">
        <v>10</v>
      </c>
      <c r="M13" s="10">
        <f t="shared" si="5"/>
        <v>578.625</v>
      </c>
      <c r="N13" s="10">
        <f t="shared" si="3"/>
        <v>588.25</v>
      </c>
      <c r="P13" s="4">
        <f t="shared" si="4"/>
        <v>24.375</v>
      </c>
      <c r="Q13" s="1">
        <f>IF(P13="",0,10)</f>
        <v>10</v>
      </c>
    </row>
    <row r="14" spans="1:17" x14ac:dyDescent="0.25">
      <c r="A14" s="1" t="s">
        <v>57</v>
      </c>
      <c r="B14" s="8" t="str">
        <f>IF(Comparazione!I16&lt;&gt;"",Comparazione!I16,"")</f>
        <v/>
      </c>
      <c r="C14" s="3">
        <f t="shared" si="1"/>
        <v>0</v>
      </c>
      <c r="D14" s="9">
        <f>SUM(Comparazione!C16:H16)</f>
        <v>0</v>
      </c>
      <c r="E14" s="3">
        <f t="shared" si="2"/>
        <v>0</v>
      </c>
      <c r="F14" s="10" t="str">
        <f t="shared" si="0"/>
        <v/>
      </c>
      <c r="I14" s="12"/>
      <c r="K14" s="1" t="s">
        <v>32</v>
      </c>
      <c r="L14" s="1">
        <v>11</v>
      </c>
      <c r="M14" s="10">
        <f t="shared" si="5"/>
        <v>588.25</v>
      </c>
      <c r="N14" s="10">
        <f t="shared" si="3"/>
        <v>597.875</v>
      </c>
      <c r="P14" s="4">
        <f t="shared" si="4"/>
        <v>23.8125</v>
      </c>
      <c r="Q14" s="1">
        <f>IF(P14="",0,11)</f>
        <v>11</v>
      </c>
    </row>
    <row r="15" spans="1:17" x14ac:dyDescent="0.25">
      <c r="A15" s="1" t="s">
        <v>58</v>
      </c>
      <c r="B15" s="8" t="str">
        <f>IF(Comparazione!I17&lt;&gt;"",Comparazione!I17,"")</f>
        <v/>
      </c>
      <c r="C15" s="3">
        <f t="shared" si="1"/>
        <v>0</v>
      </c>
      <c r="D15" s="9">
        <f>SUM(Comparazione!C17:H17)</f>
        <v>0</v>
      </c>
      <c r="E15" s="3">
        <f t="shared" si="2"/>
        <v>0</v>
      </c>
      <c r="F15" s="10" t="str">
        <f t="shared" si="0"/>
        <v/>
      </c>
      <c r="H15" s="1" t="s">
        <v>26</v>
      </c>
      <c r="I15" s="13">
        <v>32</v>
      </c>
      <c r="K15" s="1" t="s">
        <v>34</v>
      </c>
      <c r="L15" s="1">
        <v>12</v>
      </c>
      <c r="M15" s="10">
        <f t="shared" si="5"/>
        <v>597.875</v>
      </c>
      <c r="N15" s="10">
        <f t="shared" si="3"/>
        <v>607.5</v>
      </c>
      <c r="P15" s="4">
        <f t="shared" si="4"/>
        <v>23.25</v>
      </c>
      <c r="Q15" s="1">
        <f>IF(P15="",0,12)</f>
        <v>12</v>
      </c>
    </row>
    <row r="16" spans="1:17" x14ac:dyDescent="0.25">
      <c r="A16" s="1" t="s">
        <v>59</v>
      </c>
      <c r="B16" s="8" t="str">
        <f>IF(Comparazione!I18&lt;&gt;"",Comparazione!I18,"")</f>
        <v/>
      </c>
      <c r="C16" s="3">
        <f t="shared" si="1"/>
        <v>0</v>
      </c>
      <c r="D16" s="9">
        <f>SUM(Comparazione!C18:H18)</f>
        <v>0</v>
      </c>
      <c r="E16" s="3">
        <f t="shared" si="2"/>
        <v>0</v>
      </c>
      <c r="F16" s="10" t="str">
        <f t="shared" si="0"/>
        <v/>
      </c>
      <c r="K16" s="1" t="s">
        <v>96</v>
      </c>
      <c r="L16" s="1">
        <v>13</v>
      </c>
      <c r="M16" s="10">
        <f t="shared" si="5"/>
        <v>607.5</v>
      </c>
      <c r="N16" s="10">
        <f t="shared" si="3"/>
        <v>617.125</v>
      </c>
      <c r="P16" s="4">
        <f t="shared" si="4"/>
        <v>22.6875</v>
      </c>
      <c r="Q16" s="1">
        <f>IF(P16="",0,13)</f>
        <v>13</v>
      </c>
    </row>
    <row r="17" spans="1:17" x14ac:dyDescent="0.25">
      <c r="A17" s="1" t="s">
        <v>60</v>
      </c>
      <c r="B17" s="8" t="str">
        <f>IF(Comparazione!I19&lt;&gt;"",Comparazione!I19,"")</f>
        <v/>
      </c>
      <c r="C17" s="3">
        <f t="shared" si="1"/>
        <v>0</v>
      </c>
      <c r="D17" s="9">
        <f>SUM(Comparazione!C19:H19)</f>
        <v>0</v>
      </c>
      <c r="E17" s="3">
        <f t="shared" si="2"/>
        <v>0</v>
      </c>
      <c r="F17" s="10" t="str">
        <f t="shared" si="0"/>
        <v/>
      </c>
      <c r="H17" s="1" t="s">
        <v>30</v>
      </c>
      <c r="I17" s="10">
        <f>(I5-I3)/(I15)</f>
        <v>9.625</v>
      </c>
      <c r="K17" s="1" t="s">
        <v>97</v>
      </c>
      <c r="L17" s="1">
        <v>14</v>
      </c>
      <c r="M17" s="10">
        <f t="shared" si="5"/>
        <v>617.125</v>
      </c>
      <c r="N17" s="10">
        <f t="shared" si="3"/>
        <v>626.75</v>
      </c>
      <c r="P17" s="4">
        <f t="shared" si="4"/>
        <v>22.125</v>
      </c>
      <c r="Q17" s="1">
        <f>IF(P17="",0,14)</f>
        <v>14</v>
      </c>
    </row>
    <row r="18" spans="1:17" x14ac:dyDescent="0.25">
      <c r="A18" s="1" t="s">
        <v>61</v>
      </c>
      <c r="B18" s="8" t="str">
        <f>IF(Comparazione!I20&lt;&gt;"",Comparazione!I20,"")</f>
        <v/>
      </c>
      <c r="C18" s="3">
        <f t="shared" si="1"/>
        <v>0</v>
      </c>
      <c r="D18" s="9">
        <f>SUM(Comparazione!C20:H20)</f>
        <v>0</v>
      </c>
      <c r="E18" s="3">
        <f t="shared" si="2"/>
        <v>0</v>
      </c>
      <c r="F18" s="10" t="str">
        <f t="shared" si="0"/>
        <v/>
      </c>
      <c r="K18" s="1" t="s">
        <v>98</v>
      </c>
      <c r="L18" s="1">
        <v>15</v>
      </c>
      <c r="M18" s="10">
        <f t="shared" si="5"/>
        <v>626.75</v>
      </c>
      <c r="N18" s="10">
        <f t="shared" si="3"/>
        <v>636.375</v>
      </c>
      <c r="P18" s="4">
        <f t="shared" si="4"/>
        <v>21.5625</v>
      </c>
      <c r="Q18" s="1">
        <f>IF(P18="",0,15)</f>
        <v>15</v>
      </c>
    </row>
    <row r="19" spans="1:17" x14ac:dyDescent="0.25">
      <c r="A19" s="1" t="s">
        <v>62</v>
      </c>
      <c r="B19" s="8" t="str">
        <f>IF(Comparazione!I21&lt;&gt;"",Comparazione!I21,"")</f>
        <v/>
      </c>
      <c r="C19" s="3">
        <f t="shared" si="1"/>
        <v>0</v>
      </c>
      <c r="D19" s="9">
        <f>SUM(Comparazione!C21:H21)</f>
        <v>0</v>
      </c>
      <c r="E19" s="3">
        <f t="shared" si="2"/>
        <v>0</v>
      </c>
      <c r="F19" s="10" t="str">
        <f t="shared" si="0"/>
        <v/>
      </c>
      <c r="H19" s="1" t="s">
        <v>33</v>
      </c>
      <c r="I19" s="4">
        <f>($I$11-$I$13)/$I$15</f>
        <v>0.5625</v>
      </c>
      <c r="K19" s="1" t="s">
        <v>99</v>
      </c>
      <c r="L19" s="1">
        <v>16</v>
      </c>
      <c r="M19" s="10">
        <f t="shared" si="5"/>
        <v>636.375</v>
      </c>
      <c r="N19" s="10">
        <f t="shared" si="3"/>
        <v>646</v>
      </c>
      <c r="P19" s="4">
        <f t="shared" si="4"/>
        <v>21</v>
      </c>
      <c r="Q19" s="1">
        <f>IF(P19="",0,16)</f>
        <v>16</v>
      </c>
    </row>
    <row r="20" spans="1:17" x14ac:dyDescent="0.25">
      <c r="A20" s="1" t="s">
        <v>63</v>
      </c>
      <c r="B20" s="8" t="str">
        <f>IF(Comparazione!I22&lt;&gt;"",Comparazione!I22,"")</f>
        <v/>
      </c>
      <c r="C20" s="3">
        <f t="shared" si="1"/>
        <v>0</v>
      </c>
      <c r="D20" s="9">
        <f>SUM(Comparazione!C22:H22)</f>
        <v>0</v>
      </c>
      <c r="E20" s="3">
        <f t="shared" si="2"/>
        <v>0</v>
      </c>
      <c r="F20" s="10" t="str">
        <f t="shared" si="0"/>
        <v/>
      </c>
      <c r="K20" s="1" t="s">
        <v>100</v>
      </c>
      <c r="L20" s="1">
        <v>17</v>
      </c>
      <c r="M20" s="10">
        <f t="shared" si="5"/>
        <v>646</v>
      </c>
      <c r="N20" s="10">
        <f t="shared" si="3"/>
        <v>655.625</v>
      </c>
      <c r="P20" s="4">
        <f t="shared" si="4"/>
        <v>20.4375</v>
      </c>
      <c r="Q20" s="1">
        <f>IF(P20="",0,17)</f>
        <v>17</v>
      </c>
    </row>
    <row r="21" spans="1:17" x14ac:dyDescent="0.25">
      <c r="A21" s="1" t="s">
        <v>64</v>
      </c>
      <c r="B21" s="8" t="str">
        <f>IF(Comparazione!I23&lt;&gt;"",Comparazione!I23,"")</f>
        <v/>
      </c>
      <c r="C21" s="3">
        <f t="shared" si="1"/>
        <v>0</v>
      </c>
      <c r="D21" s="9">
        <f>SUM(Comparazione!C23:H23)</f>
        <v>0</v>
      </c>
      <c r="E21" s="3">
        <f t="shared" si="2"/>
        <v>0</v>
      </c>
      <c r="F21" s="10" t="str">
        <f t="shared" si="0"/>
        <v/>
      </c>
      <c r="K21" s="1" t="s">
        <v>101</v>
      </c>
      <c r="L21" s="1">
        <v>18</v>
      </c>
      <c r="M21" s="10">
        <f t="shared" si="5"/>
        <v>655.625</v>
      </c>
      <c r="N21" s="10">
        <f t="shared" si="3"/>
        <v>665.25</v>
      </c>
      <c r="P21" s="4">
        <f t="shared" si="4"/>
        <v>19.875</v>
      </c>
      <c r="Q21" s="1">
        <f>IF(P21="",0,18)</f>
        <v>18</v>
      </c>
    </row>
    <row r="22" spans="1:17" x14ac:dyDescent="0.25">
      <c r="A22" s="1" t="s">
        <v>65</v>
      </c>
      <c r="B22" s="8" t="str">
        <f>IF(Comparazione!I24&lt;&gt;"",Comparazione!I24,"")</f>
        <v/>
      </c>
      <c r="C22" s="3">
        <f t="shared" si="1"/>
        <v>0</v>
      </c>
      <c r="D22" s="9">
        <f>SUM(Comparazione!C24:H24)</f>
        <v>0</v>
      </c>
      <c r="E22" s="3">
        <f t="shared" si="2"/>
        <v>0</v>
      </c>
      <c r="F22" s="10" t="str">
        <f t="shared" si="0"/>
        <v/>
      </c>
      <c r="K22" s="1" t="s">
        <v>102</v>
      </c>
      <c r="L22" s="1">
        <v>19</v>
      </c>
      <c r="M22" s="10">
        <f t="shared" si="5"/>
        <v>665.25</v>
      </c>
      <c r="N22" s="10">
        <f t="shared" si="3"/>
        <v>674.875</v>
      </c>
      <c r="P22" s="4">
        <f t="shared" si="4"/>
        <v>19.3125</v>
      </c>
      <c r="Q22" s="1">
        <f>IF(P22="",0,19)</f>
        <v>19</v>
      </c>
    </row>
    <row r="23" spans="1:17" x14ac:dyDescent="0.25">
      <c r="A23" s="1" t="s">
        <v>66</v>
      </c>
      <c r="B23" s="8" t="str">
        <f>IF(Comparazione!I25&lt;&gt;"",Comparazione!I25,"")</f>
        <v/>
      </c>
      <c r="C23" s="3">
        <f t="shared" si="1"/>
        <v>0</v>
      </c>
      <c r="D23" s="9">
        <f>SUM(Comparazione!C25:H25)</f>
        <v>0</v>
      </c>
      <c r="E23" s="3">
        <f t="shared" si="2"/>
        <v>0</v>
      </c>
      <c r="F23" s="10" t="str">
        <f t="shared" si="0"/>
        <v/>
      </c>
      <c r="H23" s="1" t="s">
        <v>37</v>
      </c>
      <c r="I23" s="14">
        <f>MAX(E3:E32)</f>
        <v>51.1875</v>
      </c>
      <c r="K23" s="1" t="s">
        <v>103</v>
      </c>
      <c r="L23" s="1">
        <v>20</v>
      </c>
      <c r="M23" s="10">
        <f t="shared" si="5"/>
        <v>674.875</v>
      </c>
      <c r="N23" s="10">
        <f t="shared" si="3"/>
        <v>684.5</v>
      </c>
      <c r="P23" s="4">
        <f t="shared" si="4"/>
        <v>18.75</v>
      </c>
      <c r="Q23" s="1">
        <f>IF(P23="",0,20)</f>
        <v>20</v>
      </c>
    </row>
    <row r="24" spans="1:17" x14ac:dyDescent="0.25">
      <c r="A24" s="1" t="s">
        <v>67</v>
      </c>
      <c r="B24" s="8" t="str">
        <f>IF(Comparazione!I26&lt;&gt;"",Comparazione!I26,"")</f>
        <v/>
      </c>
      <c r="C24" s="3">
        <f t="shared" si="1"/>
        <v>0</v>
      </c>
      <c r="D24" s="9">
        <f>SUM(Comparazione!C26:H26)</f>
        <v>0</v>
      </c>
      <c r="E24" s="3">
        <f t="shared" si="2"/>
        <v>0</v>
      </c>
      <c r="F24" s="10" t="str">
        <f t="shared" si="0"/>
        <v/>
      </c>
      <c r="K24" s="1" t="s">
        <v>104</v>
      </c>
      <c r="L24" s="1">
        <v>21</v>
      </c>
      <c r="M24" s="10">
        <f t="shared" si="5"/>
        <v>684.5</v>
      </c>
      <c r="N24" s="10">
        <f t="shared" si="3"/>
        <v>694.125</v>
      </c>
      <c r="P24" s="4">
        <f t="shared" si="4"/>
        <v>18.1875</v>
      </c>
      <c r="Q24" s="1">
        <f>IF(P24="",0,21)</f>
        <v>21</v>
      </c>
    </row>
    <row r="25" spans="1:17" x14ac:dyDescent="0.25">
      <c r="A25" s="1" t="s">
        <v>68</v>
      </c>
      <c r="B25" s="8" t="str">
        <f>IF(Comparazione!I27&lt;&gt;"",Comparazione!I27,"")</f>
        <v/>
      </c>
      <c r="C25" s="3">
        <f t="shared" si="1"/>
        <v>0</v>
      </c>
      <c r="D25" s="9">
        <f>SUM(Comparazione!C27:H27)</f>
        <v>0</v>
      </c>
      <c r="E25" s="3">
        <f t="shared" si="2"/>
        <v>0</v>
      </c>
      <c r="F25" s="10" t="str">
        <f t="shared" si="0"/>
        <v/>
      </c>
      <c r="K25" s="1" t="s">
        <v>105</v>
      </c>
      <c r="L25" s="1">
        <v>22</v>
      </c>
      <c r="M25" s="10">
        <f t="shared" si="5"/>
        <v>694.125</v>
      </c>
      <c r="N25" s="10">
        <f t="shared" si="3"/>
        <v>703.75</v>
      </c>
      <c r="P25" s="4">
        <f t="shared" si="4"/>
        <v>17.625</v>
      </c>
      <c r="Q25" s="1">
        <f>IF(P25="",0,22)</f>
        <v>22</v>
      </c>
    </row>
    <row r="26" spans="1:17" x14ac:dyDescent="0.25">
      <c r="A26" s="1" t="s">
        <v>69</v>
      </c>
      <c r="B26" s="8" t="str">
        <f>IF(Comparazione!I28&lt;&gt;"",Comparazione!I28,"")</f>
        <v/>
      </c>
      <c r="C26" s="3">
        <f t="shared" si="1"/>
        <v>0</v>
      </c>
      <c r="D26" s="9">
        <f>SUM(Comparazione!C28:H28)</f>
        <v>0</v>
      </c>
      <c r="E26" s="3">
        <f t="shared" si="2"/>
        <v>0</v>
      </c>
      <c r="F26" s="10" t="str">
        <f t="shared" si="0"/>
        <v/>
      </c>
      <c r="K26" s="1" t="s">
        <v>106</v>
      </c>
      <c r="L26" s="1">
        <v>23</v>
      </c>
      <c r="M26" s="10">
        <f t="shared" si="5"/>
        <v>703.75</v>
      </c>
      <c r="N26" s="10">
        <f t="shared" si="3"/>
        <v>713.375</v>
      </c>
      <c r="P26" s="4">
        <f t="shared" si="4"/>
        <v>17.0625</v>
      </c>
      <c r="Q26" s="1">
        <f>IF(P26="",0,23)</f>
        <v>23</v>
      </c>
    </row>
    <row r="27" spans="1:17" x14ac:dyDescent="0.25">
      <c r="A27" s="1" t="s">
        <v>70</v>
      </c>
      <c r="B27" s="8" t="str">
        <f>IF(Comparazione!I29&lt;&gt;"",Comparazione!I29,"")</f>
        <v/>
      </c>
      <c r="C27" s="3">
        <f t="shared" si="1"/>
        <v>0</v>
      </c>
      <c r="D27" s="9">
        <f>SUM(Comparazione!C29:H29)</f>
        <v>0</v>
      </c>
      <c r="E27" s="3">
        <f t="shared" si="2"/>
        <v>0</v>
      </c>
      <c r="F27" s="10" t="str">
        <f t="shared" si="0"/>
        <v/>
      </c>
      <c r="K27" s="1" t="s">
        <v>107</v>
      </c>
      <c r="L27" s="1">
        <v>24</v>
      </c>
      <c r="M27" s="10">
        <f t="shared" si="5"/>
        <v>713.375</v>
      </c>
      <c r="N27" s="10">
        <f t="shared" si="3"/>
        <v>723</v>
      </c>
      <c r="P27" s="4">
        <f t="shared" si="4"/>
        <v>16.5</v>
      </c>
      <c r="Q27" s="1">
        <f>IF(P27="",0,24)</f>
        <v>24</v>
      </c>
    </row>
    <row r="28" spans="1:17" x14ac:dyDescent="0.25">
      <c r="A28" s="1" t="s">
        <v>71</v>
      </c>
      <c r="B28" s="8" t="str">
        <f>IF(Comparazione!I30&lt;&gt;"",Comparazione!I30,"")</f>
        <v/>
      </c>
      <c r="C28" s="3">
        <f t="shared" si="1"/>
        <v>0</v>
      </c>
      <c r="D28" s="9">
        <f>SUM(Comparazione!C30:H30)</f>
        <v>0</v>
      </c>
      <c r="E28" s="3">
        <f t="shared" si="2"/>
        <v>0</v>
      </c>
      <c r="F28" s="10" t="str">
        <f t="shared" si="0"/>
        <v/>
      </c>
      <c r="K28" s="1" t="s">
        <v>108</v>
      </c>
      <c r="L28" s="1">
        <v>25</v>
      </c>
      <c r="M28" s="10">
        <f t="shared" si="5"/>
        <v>723</v>
      </c>
      <c r="N28" s="10">
        <f t="shared" si="3"/>
        <v>732.625</v>
      </c>
      <c r="P28" s="4">
        <f t="shared" si="4"/>
        <v>15.9375</v>
      </c>
      <c r="Q28" s="1">
        <f>IF(P28="",0,25)</f>
        <v>25</v>
      </c>
    </row>
    <row r="29" spans="1:17" x14ac:dyDescent="0.25">
      <c r="A29" s="1" t="s">
        <v>72</v>
      </c>
      <c r="B29" s="8" t="str">
        <f>IF(Comparazione!I31&lt;&gt;"",Comparazione!I31,"")</f>
        <v/>
      </c>
      <c r="C29" s="3">
        <f t="shared" si="1"/>
        <v>0</v>
      </c>
      <c r="D29" s="9">
        <f>SUM(Comparazione!C31:H31)</f>
        <v>0</v>
      </c>
      <c r="E29" s="3">
        <f t="shared" si="2"/>
        <v>0</v>
      </c>
      <c r="F29" s="10" t="str">
        <f t="shared" si="0"/>
        <v/>
      </c>
      <c r="K29" s="1" t="s">
        <v>109</v>
      </c>
      <c r="L29" s="1">
        <v>26</v>
      </c>
      <c r="M29" s="10">
        <f t="shared" si="5"/>
        <v>732.625</v>
      </c>
      <c r="N29" s="10">
        <f t="shared" si="3"/>
        <v>742.25</v>
      </c>
      <c r="P29" s="4">
        <f t="shared" si="4"/>
        <v>15.375</v>
      </c>
      <c r="Q29" s="1">
        <f>IF(P29="",0,26)</f>
        <v>26</v>
      </c>
    </row>
    <row r="30" spans="1:17" x14ac:dyDescent="0.25">
      <c r="A30" s="1" t="s">
        <v>73</v>
      </c>
      <c r="B30" s="8" t="str">
        <f>IF(Comparazione!I32&lt;&gt;"",Comparazione!I32,"")</f>
        <v/>
      </c>
      <c r="C30" s="3">
        <f t="shared" si="1"/>
        <v>0</v>
      </c>
      <c r="D30" s="9">
        <f>SUM(Comparazione!C32:H32)</f>
        <v>0</v>
      </c>
      <c r="E30" s="3">
        <f t="shared" si="2"/>
        <v>0</v>
      </c>
      <c r="F30" s="10" t="str">
        <f t="shared" si="0"/>
        <v/>
      </c>
      <c r="K30" s="1" t="s">
        <v>110</v>
      </c>
      <c r="L30" s="1">
        <v>27</v>
      </c>
      <c r="M30" s="10">
        <f t="shared" si="5"/>
        <v>742.25</v>
      </c>
      <c r="N30" s="10">
        <f t="shared" si="3"/>
        <v>751.875</v>
      </c>
      <c r="P30" s="4">
        <f t="shared" si="4"/>
        <v>14.8125</v>
      </c>
      <c r="Q30" s="1">
        <f>IF(P30="",0,27)</f>
        <v>27</v>
      </c>
    </row>
    <row r="31" spans="1:17" x14ac:dyDescent="0.25">
      <c r="A31" s="1" t="s">
        <v>74</v>
      </c>
      <c r="B31" s="8" t="str">
        <f>IF(Comparazione!I33&lt;&gt;"",Comparazione!I33,"")</f>
        <v/>
      </c>
      <c r="C31" s="3">
        <f t="shared" si="1"/>
        <v>0</v>
      </c>
      <c r="D31" s="9">
        <f>SUM(Comparazione!C33:H33)</f>
        <v>0</v>
      </c>
      <c r="E31" s="3">
        <f t="shared" si="2"/>
        <v>0</v>
      </c>
      <c r="F31" s="10" t="str">
        <f t="shared" si="0"/>
        <v/>
      </c>
      <c r="K31" s="1" t="s">
        <v>111</v>
      </c>
      <c r="L31" s="1">
        <v>28</v>
      </c>
      <c r="M31" s="10">
        <f t="shared" si="5"/>
        <v>751.875</v>
      </c>
      <c r="N31" s="10">
        <f t="shared" si="3"/>
        <v>761.5</v>
      </c>
      <c r="P31" s="4">
        <f t="shared" si="4"/>
        <v>14.25</v>
      </c>
      <c r="Q31" s="1">
        <f>IF(P31="",0,28)</f>
        <v>28</v>
      </c>
    </row>
    <row r="32" spans="1:17" x14ac:dyDescent="0.25">
      <c r="A32" s="1" t="s">
        <v>75</v>
      </c>
      <c r="B32" s="8" t="str">
        <f>IF(Comparazione!I34&lt;&gt;"",Comparazione!I34,"")</f>
        <v/>
      </c>
      <c r="C32" s="3">
        <f t="shared" si="1"/>
        <v>0</v>
      </c>
      <c r="D32" s="9">
        <f>SUM(Comparazione!C34:H34)</f>
        <v>0</v>
      </c>
      <c r="E32" s="3">
        <f t="shared" si="2"/>
        <v>0</v>
      </c>
      <c r="F32" s="10" t="str">
        <f t="shared" si="0"/>
        <v/>
      </c>
      <c r="K32" s="1" t="s">
        <v>112</v>
      </c>
      <c r="L32" s="1">
        <v>29</v>
      </c>
      <c r="M32" s="10">
        <f t="shared" si="5"/>
        <v>761.5</v>
      </c>
      <c r="N32" s="10">
        <f t="shared" si="3"/>
        <v>771.125</v>
      </c>
      <c r="P32" s="4">
        <f t="shared" si="4"/>
        <v>13.6875</v>
      </c>
      <c r="Q32" s="1">
        <f>IF(P32="",0,29)</f>
        <v>29</v>
      </c>
    </row>
    <row r="33" spans="11:17" x14ac:dyDescent="0.25">
      <c r="K33" s="1" t="s">
        <v>113</v>
      </c>
      <c r="L33" s="1">
        <v>30</v>
      </c>
      <c r="M33" s="10">
        <f t="shared" si="5"/>
        <v>771.125</v>
      </c>
      <c r="N33" s="10">
        <f t="shared" si="3"/>
        <v>780.75</v>
      </c>
      <c r="P33" s="4">
        <f t="shared" si="4"/>
        <v>13.125</v>
      </c>
      <c r="Q33" s="1">
        <f>IF(P33="",0,30)</f>
        <v>30</v>
      </c>
    </row>
    <row r="34" spans="11:17" x14ac:dyDescent="0.25">
      <c r="K34" s="1" t="s">
        <v>114</v>
      </c>
      <c r="L34" s="1">
        <v>31</v>
      </c>
      <c r="M34" s="10">
        <f t="shared" si="5"/>
        <v>780.75</v>
      </c>
      <c r="N34" s="10">
        <f t="shared" si="3"/>
        <v>790.375</v>
      </c>
      <c r="P34" s="4">
        <f t="shared" si="4"/>
        <v>12.5625</v>
      </c>
      <c r="Q34" s="1">
        <f>IF(P34="",0,31)</f>
        <v>31</v>
      </c>
    </row>
    <row r="35" spans="11:17" x14ac:dyDescent="0.25">
      <c r="K35" s="1" t="s">
        <v>115</v>
      </c>
      <c r="L35" s="1">
        <v>32</v>
      </c>
      <c r="M35" s="10">
        <f t="shared" si="5"/>
        <v>790.375</v>
      </c>
      <c r="N35" s="10">
        <f t="shared" si="3"/>
        <v>800</v>
      </c>
      <c r="P35" s="4">
        <f t="shared" si="4"/>
        <v>12</v>
      </c>
      <c r="Q35" s="1">
        <f>IF(P35="",0,32)</f>
        <v>32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2"/>
  <sheetViews>
    <sheetView tabSelected="1" workbookViewId="0">
      <selection activeCell="O17" sqref="O17"/>
    </sheetView>
  </sheetViews>
  <sheetFormatPr defaultRowHeight="15" x14ac:dyDescent="0.25"/>
  <cols>
    <col min="1" max="1" width="14.85546875" customWidth="1"/>
    <col min="2" max="2" width="32.140625" customWidth="1"/>
    <col min="3" max="3" width="5.7109375" customWidth="1"/>
    <col min="4" max="4" width="5.7109375" style="15" customWidth="1"/>
    <col min="5" max="8" width="5.7109375" customWidth="1"/>
    <col min="9" max="9" width="21.28515625" customWidth="1"/>
    <col min="10" max="10" width="13.85546875" customWidth="1"/>
    <col min="11" max="12" width="11.85546875" customWidth="1"/>
    <col min="13" max="13" width="11.28515625" customWidth="1"/>
  </cols>
  <sheetData>
    <row r="3" spans="1:13" x14ac:dyDescent="0.25">
      <c r="B3" t="s">
        <v>128</v>
      </c>
    </row>
    <row r="4" spans="1:13" ht="30.75" thickBot="1" x14ac:dyDescent="0.3">
      <c r="B4" s="19" t="s">
        <v>127</v>
      </c>
      <c r="C4" s="15" t="s">
        <v>120</v>
      </c>
      <c r="D4" s="15" t="s">
        <v>121</v>
      </c>
      <c r="E4" s="15" t="s">
        <v>122</v>
      </c>
      <c r="F4" s="15" t="s">
        <v>123</v>
      </c>
      <c r="G4" s="15" t="s">
        <v>124</v>
      </c>
      <c r="H4" s="15" t="s">
        <v>125</v>
      </c>
      <c r="I4" s="15" t="s">
        <v>50</v>
      </c>
      <c r="J4" s="15" t="s">
        <v>48</v>
      </c>
      <c r="K4" s="15" t="s">
        <v>116</v>
      </c>
      <c r="L4" s="15" t="s">
        <v>49</v>
      </c>
      <c r="M4" s="15" t="s">
        <v>117</v>
      </c>
    </row>
    <row r="5" spans="1:13" ht="30" customHeight="1" thickBot="1" x14ac:dyDescent="0.3">
      <c r="A5" s="17" t="s">
        <v>38</v>
      </c>
      <c r="B5" s="30" t="s">
        <v>129</v>
      </c>
      <c r="C5" s="20">
        <v>10</v>
      </c>
      <c r="D5" s="21">
        <v>3</v>
      </c>
      <c r="E5" s="20">
        <v>2</v>
      </c>
      <c r="F5" s="20">
        <v>3</v>
      </c>
      <c r="G5" s="20">
        <v>3</v>
      </c>
      <c r="H5" s="20">
        <v>3</v>
      </c>
      <c r="I5" s="28">
        <v>630</v>
      </c>
      <c r="J5" s="18">
        <f>Fasce!C3</f>
        <v>21.5625</v>
      </c>
      <c r="K5" s="18">
        <f>Fasce!D3</f>
        <v>24</v>
      </c>
      <c r="L5" s="18">
        <f>J5+K5</f>
        <v>45.5625</v>
      </c>
      <c r="M5" s="19" t="str">
        <f>IF(Fasce!F3="","","Vincitore")</f>
        <v/>
      </c>
    </row>
    <row r="6" spans="1:13" ht="30" customHeight="1" thickBot="1" x14ac:dyDescent="0.3">
      <c r="A6" s="17" t="s">
        <v>39</v>
      </c>
      <c r="B6" s="31" t="s">
        <v>130</v>
      </c>
      <c r="C6" s="20">
        <v>10</v>
      </c>
      <c r="D6" s="21">
        <v>3</v>
      </c>
      <c r="E6" s="20">
        <v>2</v>
      </c>
      <c r="F6" s="20">
        <v>3</v>
      </c>
      <c r="G6" s="20">
        <v>3</v>
      </c>
      <c r="H6" s="20">
        <v>3</v>
      </c>
      <c r="I6" s="28">
        <v>560</v>
      </c>
      <c r="J6" s="18">
        <f>Fasce!C4</f>
        <v>25.5</v>
      </c>
      <c r="K6" s="18">
        <f>Fasce!D4</f>
        <v>24</v>
      </c>
      <c r="L6" s="18">
        <f t="shared" ref="L6:L34" si="0">J6+K6</f>
        <v>49.5</v>
      </c>
      <c r="M6" s="19" t="str">
        <f>IF(Fasce!F4="","","Vincitore")</f>
        <v/>
      </c>
    </row>
    <row r="7" spans="1:13" ht="30" customHeight="1" thickBot="1" x14ac:dyDescent="0.3">
      <c r="A7" s="17" t="s">
        <v>40</v>
      </c>
      <c r="B7" s="32" t="s">
        <v>131</v>
      </c>
      <c r="C7" s="20">
        <v>10</v>
      </c>
      <c r="D7" s="21">
        <v>3</v>
      </c>
      <c r="E7" s="20">
        <v>2</v>
      </c>
      <c r="F7" s="20">
        <v>3</v>
      </c>
      <c r="G7" s="20">
        <v>3</v>
      </c>
      <c r="H7" s="20">
        <v>3</v>
      </c>
      <c r="I7" s="28">
        <v>537</v>
      </c>
      <c r="J7" s="18">
        <f>Fasce!C5</f>
        <v>27.1875</v>
      </c>
      <c r="K7" s="18">
        <f>Fasce!D5</f>
        <v>24</v>
      </c>
      <c r="L7" s="18">
        <f t="shared" si="0"/>
        <v>51.1875</v>
      </c>
      <c r="M7" s="19" t="str">
        <f>IF(Fasce!F5="","","Vincitore")</f>
        <v>Vincitore</v>
      </c>
    </row>
    <row r="8" spans="1:13" ht="30" customHeight="1" thickBot="1" x14ac:dyDescent="0.3">
      <c r="A8" s="17" t="s">
        <v>41</v>
      </c>
      <c r="B8" s="31" t="s">
        <v>132</v>
      </c>
      <c r="C8" s="20">
        <v>10</v>
      </c>
      <c r="D8" s="21">
        <v>3</v>
      </c>
      <c r="E8" s="20">
        <v>2</v>
      </c>
      <c r="F8" s="20">
        <v>3</v>
      </c>
      <c r="G8" s="20">
        <v>0</v>
      </c>
      <c r="H8" s="20">
        <v>0</v>
      </c>
      <c r="I8" s="28">
        <v>492</v>
      </c>
      <c r="J8" s="18">
        <f>Fasce!C6</f>
        <v>30</v>
      </c>
      <c r="K8" s="18">
        <f>Fasce!D6</f>
        <v>18</v>
      </c>
      <c r="L8" s="18">
        <f t="shared" si="0"/>
        <v>48</v>
      </c>
      <c r="M8" s="19" t="str">
        <f>IF(Fasce!F6="","","Vincitore")</f>
        <v/>
      </c>
    </row>
    <row r="9" spans="1:13" ht="30" customHeight="1" thickBot="1" x14ac:dyDescent="0.3">
      <c r="A9" s="17" t="s">
        <v>42</v>
      </c>
      <c r="B9" s="31" t="s">
        <v>133</v>
      </c>
      <c r="C9" s="20">
        <v>10</v>
      </c>
      <c r="D9" s="21">
        <v>3</v>
      </c>
      <c r="E9" s="20">
        <v>0</v>
      </c>
      <c r="F9" s="20">
        <v>3</v>
      </c>
      <c r="G9" s="20">
        <v>3</v>
      </c>
      <c r="H9" s="20">
        <v>3</v>
      </c>
      <c r="I9" s="28">
        <v>567</v>
      </c>
      <c r="J9" s="18">
        <f>Fasce!C7</f>
        <v>25.5</v>
      </c>
      <c r="K9" s="18">
        <f>Fasce!D7</f>
        <v>22</v>
      </c>
      <c r="L9" s="18">
        <f t="shared" si="0"/>
        <v>47.5</v>
      </c>
      <c r="M9" s="19" t="str">
        <f>IF(Fasce!F7="","","Vincitore")</f>
        <v/>
      </c>
    </row>
    <row r="10" spans="1:13" ht="30" customHeight="1" thickBot="1" x14ac:dyDescent="0.3">
      <c r="A10" s="17" t="s">
        <v>43</v>
      </c>
      <c r="B10" s="31" t="s">
        <v>134</v>
      </c>
      <c r="C10" s="20">
        <v>10</v>
      </c>
      <c r="D10" s="21">
        <v>3</v>
      </c>
      <c r="E10" s="20">
        <v>2</v>
      </c>
      <c r="F10" s="20">
        <v>5</v>
      </c>
      <c r="G10" s="20">
        <v>0</v>
      </c>
      <c r="H10" s="20">
        <v>3</v>
      </c>
      <c r="I10" s="28">
        <v>800</v>
      </c>
      <c r="J10" s="18">
        <f>Fasce!C8</f>
        <v>12</v>
      </c>
      <c r="K10" s="18">
        <f>Fasce!D8</f>
        <v>23</v>
      </c>
      <c r="L10" s="18">
        <f t="shared" si="0"/>
        <v>35</v>
      </c>
      <c r="M10" s="19" t="str">
        <f>IF(Fasce!F8="","","Vincitore")</f>
        <v/>
      </c>
    </row>
    <row r="11" spans="1:13" ht="30" customHeight="1" thickBot="1" x14ac:dyDescent="0.3">
      <c r="A11" s="17" t="s">
        <v>44</v>
      </c>
      <c r="B11" s="31" t="s">
        <v>135</v>
      </c>
      <c r="C11" s="20">
        <v>10</v>
      </c>
      <c r="D11" s="21">
        <v>3</v>
      </c>
      <c r="E11" s="20">
        <v>0</v>
      </c>
      <c r="F11" s="20">
        <v>3</v>
      </c>
      <c r="G11" s="20">
        <v>0</v>
      </c>
      <c r="H11" s="20">
        <v>3</v>
      </c>
      <c r="I11" s="28">
        <v>613</v>
      </c>
      <c r="J11" s="18">
        <f>Fasce!C9</f>
        <v>22.6875</v>
      </c>
      <c r="K11" s="18">
        <f>Fasce!D9</f>
        <v>19</v>
      </c>
      <c r="L11" s="18">
        <f t="shared" si="0"/>
        <v>41.6875</v>
      </c>
      <c r="M11" s="19" t="str">
        <f>IF(Fasce!F9="","","Vincitore")</f>
        <v/>
      </c>
    </row>
    <row r="12" spans="1:13" ht="30" customHeight="1" x14ac:dyDescent="0.25">
      <c r="A12" s="17" t="s">
        <v>45</v>
      </c>
      <c r="B12" s="25"/>
      <c r="C12" s="20"/>
      <c r="D12" s="21"/>
      <c r="E12" s="20"/>
      <c r="F12" s="20"/>
      <c r="G12" s="20"/>
      <c r="H12" s="20"/>
      <c r="I12" s="28"/>
      <c r="J12" s="18">
        <f>Fasce!C10</f>
        <v>0</v>
      </c>
      <c r="K12" s="18">
        <f>Fasce!D10</f>
        <v>0</v>
      </c>
      <c r="L12" s="18">
        <f t="shared" si="0"/>
        <v>0</v>
      </c>
      <c r="M12" s="19" t="str">
        <f>IF(Fasce!F10="","","Vincitore")</f>
        <v/>
      </c>
    </row>
    <row r="13" spans="1:13" ht="30" customHeight="1" x14ac:dyDescent="0.25">
      <c r="A13" s="17" t="s">
        <v>46</v>
      </c>
      <c r="B13" s="25"/>
      <c r="C13" s="20"/>
      <c r="D13" s="21"/>
      <c r="E13" s="20"/>
      <c r="F13" s="20"/>
      <c r="G13" s="20"/>
      <c r="H13" s="20"/>
      <c r="I13" s="28"/>
      <c r="J13" s="18">
        <f>Fasce!C11</f>
        <v>0</v>
      </c>
      <c r="K13" s="18">
        <f>Fasce!D11</f>
        <v>0</v>
      </c>
      <c r="L13" s="18">
        <f t="shared" si="0"/>
        <v>0</v>
      </c>
      <c r="M13" s="19" t="str">
        <f>IF(Fasce!F11="","","Vincitore")</f>
        <v/>
      </c>
    </row>
    <row r="14" spans="1:13" ht="30" customHeight="1" x14ac:dyDescent="0.25">
      <c r="A14" s="17" t="s">
        <v>47</v>
      </c>
      <c r="B14" s="25"/>
      <c r="C14" s="20"/>
      <c r="D14" s="21"/>
      <c r="E14" s="20"/>
      <c r="F14" s="20"/>
      <c r="G14" s="20"/>
      <c r="H14" s="20"/>
      <c r="I14" s="28"/>
      <c r="J14" s="18">
        <f>Fasce!C12</f>
        <v>0</v>
      </c>
      <c r="K14" s="18">
        <f>Fasce!D12</f>
        <v>0</v>
      </c>
      <c r="L14" s="18">
        <f t="shared" si="0"/>
        <v>0</v>
      </c>
      <c r="M14" s="19" t="str">
        <f>IF(Fasce!F12="","","Vincitore")</f>
        <v/>
      </c>
    </row>
    <row r="15" spans="1:13" ht="30" customHeight="1" x14ac:dyDescent="0.25">
      <c r="A15" s="17" t="s">
        <v>76</v>
      </c>
      <c r="B15" s="29"/>
      <c r="C15" s="29"/>
      <c r="D15" s="25"/>
      <c r="E15" s="29"/>
      <c r="F15" s="29"/>
      <c r="G15" s="29"/>
      <c r="H15" s="29"/>
      <c r="I15" s="28"/>
      <c r="J15" s="18">
        <f>Fasce!C13</f>
        <v>0</v>
      </c>
      <c r="K15" s="18">
        <f>Fasce!D13</f>
        <v>0</v>
      </c>
      <c r="L15" s="18">
        <f t="shared" si="0"/>
        <v>0</v>
      </c>
      <c r="M15" s="19" t="str">
        <f>IF(Fasce!F13="","","Vincitore")</f>
        <v/>
      </c>
    </row>
    <row r="16" spans="1:13" ht="30" customHeight="1" x14ac:dyDescent="0.25">
      <c r="A16" s="17" t="s">
        <v>77</v>
      </c>
      <c r="B16" s="29"/>
      <c r="C16" s="29"/>
      <c r="D16" s="25"/>
      <c r="E16" s="29"/>
      <c r="F16" s="29"/>
      <c r="G16" s="29"/>
      <c r="H16" s="29"/>
      <c r="I16" s="28"/>
      <c r="J16" s="18">
        <f>Fasce!C14</f>
        <v>0</v>
      </c>
      <c r="K16" s="18">
        <f>Fasce!D14</f>
        <v>0</v>
      </c>
      <c r="L16" s="18">
        <f t="shared" si="0"/>
        <v>0</v>
      </c>
      <c r="M16" s="19" t="str">
        <f>IF(Fasce!F14="","","Vincitore")</f>
        <v/>
      </c>
    </row>
    <row r="17" spans="1:13" ht="30" customHeight="1" x14ac:dyDescent="0.25">
      <c r="A17" s="17" t="s">
        <v>78</v>
      </c>
      <c r="B17" s="29"/>
      <c r="C17" s="29"/>
      <c r="D17" s="25"/>
      <c r="E17" s="29"/>
      <c r="F17" s="29"/>
      <c r="G17" s="29"/>
      <c r="H17" s="29"/>
      <c r="I17" s="28"/>
      <c r="J17" s="18">
        <f>Fasce!C15</f>
        <v>0</v>
      </c>
      <c r="K17" s="18">
        <f>Fasce!D15</f>
        <v>0</v>
      </c>
      <c r="L17" s="18">
        <f t="shared" si="0"/>
        <v>0</v>
      </c>
      <c r="M17" s="19" t="str">
        <f>IF(Fasce!F15="","","Vincitore")</f>
        <v/>
      </c>
    </row>
    <row r="18" spans="1:13" ht="30" customHeight="1" x14ac:dyDescent="0.25">
      <c r="A18" s="17" t="s">
        <v>79</v>
      </c>
      <c r="B18" s="29"/>
      <c r="C18" s="29"/>
      <c r="D18" s="25"/>
      <c r="E18" s="29"/>
      <c r="F18" s="29"/>
      <c r="G18" s="29"/>
      <c r="H18" s="29"/>
      <c r="I18" s="28"/>
      <c r="J18" s="18">
        <f>Fasce!C16</f>
        <v>0</v>
      </c>
      <c r="K18" s="18">
        <f>Fasce!D16</f>
        <v>0</v>
      </c>
      <c r="L18" s="18">
        <f t="shared" si="0"/>
        <v>0</v>
      </c>
      <c r="M18" s="19" t="str">
        <f>IF(Fasce!F16="","","Vincitore")</f>
        <v/>
      </c>
    </row>
    <row r="19" spans="1:13" ht="30" customHeight="1" x14ac:dyDescent="0.25">
      <c r="A19" s="17" t="s">
        <v>80</v>
      </c>
      <c r="B19" s="29"/>
      <c r="C19" s="29"/>
      <c r="D19" s="25"/>
      <c r="E19" s="29"/>
      <c r="F19" s="29"/>
      <c r="G19" s="29"/>
      <c r="H19" s="29"/>
      <c r="I19" s="28"/>
      <c r="J19" s="18">
        <f>Fasce!C17</f>
        <v>0</v>
      </c>
      <c r="K19" s="18">
        <f>Fasce!D17</f>
        <v>0</v>
      </c>
      <c r="L19" s="18">
        <f t="shared" si="0"/>
        <v>0</v>
      </c>
      <c r="M19" s="19" t="str">
        <f>IF(Fasce!F17="","","Vincitore")</f>
        <v/>
      </c>
    </row>
    <row r="20" spans="1:13" ht="30" customHeight="1" x14ac:dyDescent="0.25">
      <c r="A20" s="17" t="s">
        <v>81</v>
      </c>
      <c r="B20" s="29"/>
      <c r="C20" s="29"/>
      <c r="D20" s="25"/>
      <c r="E20" s="29"/>
      <c r="F20" s="29"/>
      <c r="G20" s="29"/>
      <c r="H20" s="29"/>
      <c r="I20" s="28"/>
      <c r="J20" s="18">
        <f>Fasce!C18</f>
        <v>0</v>
      </c>
      <c r="K20" s="18">
        <f>Fasce!D18</f>
        <v>0</v>
      </c>
      <c r="L20" s="18">
        <f t="shared" si="0"/>
        <v>0</v>
      </c>
      <c r="M20" s="19" t="str">
        <f>IF(Fasce!F18="","","Vincitore")</f>
        <v/>
      </c>
    </row>
    <row r="21" spans="1:13" ht="30" customHeight="1" x14ac:dyDescent="0.25">
      <c r="A21" s="17" t="s">
        <v>82</v>
      </c>
      <c r="B21" s="29"/>
      <c r="C21" s="29"/>
      <c r="D21" s="25"/>
      <c r="E21" s="29"/>
      <c r="F21" s="29"/>
      <c r="G21" s="29"/>
      <c r="H21" s="29"/>
      <c r="I21" s="28"/>
      <c r="J21" s="18">
        <f>Fasce!C19</f>
        <v>0</v>
      </c>
      <c r="K21" s="18">
        <f>Fasce!D19</f>
        <v>0</v>
      </c>
      <c r="L21" s="18">
        <f t="shared" si="0"/>
        <v>0</v>
      </c>
      <c r="M21" s="19" t="str">
        <f>IF(Fasce!F19="","","Vincitore")</f>
        <v/>
      </c>
    </row>
    <row r="22" spans="1:13" ht="30" customHeight="1" x14ac:dyDescent="0.25">
      <c r="A22" s="17" t="s">
        <v>83</v>
      </c>
      <c r="B22" s="29"/>
      <c r="C22" s="29"/>
      <c r="D22" s="25"/>
      <c r="E22" s="29"/>
      <c r="F22" s="29"/>
      <c r="G22" s="29"/>
      <c r="H22" s="29"/>
      <c r="I22" s="28"/>
      <c r="J22" s="18">
        <f>Fasce!C20</f>
        <v>0</v>
      </c>
      <c r="K22" s="18">
        <f>Fasce!D20</f>
        <v>0</v>
      </c>
      <c r="L22" s="18">
        <f t="shared" si="0"/>
        <v>0</v>
      </c>
      <c r="M22" s="19" t="str">
        <f>IF(Fasce!F20="","","Vincitore")</f>
        <v/>
      </c>
    </row>
    <row r="23" spans="1:13" ht="30" customHeight="1" x14ac:dyDescent="0.25">
      <c r="A23" s="17" t="s">
        <v>84</v>
      </c>
      <c r="B23" s="29"/>
      <c r="C23" s="29"/>
      <c r="D23" s="25"/>
      <c r="E23" s="29"/>
      <c r="F23" s="29"/>
      <c r="G23" s="29"/>
      <c r="H23" s="29"/>
      <c r="I23" s="28"/>
      <c r="J23" s="18">
        <f>Fasce!C21</f>
        <v>0</v>
      </c>
      <c r="K23" s="18">
        <f>Fasce!D21</f>
        <v>0</v>
      </c>
      <c r="L23" s="18">
        <f t="shared" si="0"/>
        <v>0</v>
      </c>
      <c r="M23" s="19" t="str">
        <f>IF(Fasce!F21="","","Vincitore")</f>
        <v/>
      </c>
    </row>
    <row r="24" spans="1:13" ht="30" customHeight="1" x14ac:dyDescent="0.25">
      <c r="A24" s="17" t="s">
        <v>85</v>
      </c>
      <c r="B24" s="29"/>
      <c r="C24" s="29"/>
      <c r="D24" s="25"/>
      <c r="E24" s="29"/>
      <c r="F24" s="29"/>
      <c r="G24" s="29"/>
      <c r="H24" s="29"/>
      <c r="I24" s="28"/>
      <c r="J24" s="18">
        <f>Fasce!C22</f>
        <v>0</v>
      </c>
      <c r="K24" s="18">
        <f>Fasce!D22</f>
        <v>0</v>
      </c>
      <c r="L24" s="18">
        <f t="shared" si="0"/>
        <v>0</v>
      </c>
      <c r="M24" s="19" t="str">
        <f>IF(Fasce!F22="","","Vincitore")</f>
        <v/>
      </c>
    </row>
    <row r="25" spans="1:13" ht="30" customHeight="1" x14ac:dyDescent="0.25">
      <c r="A25" s="17" t="s">
        <v>86</v>
      </c>
      <c r="B25" s="29"/>
      <c r="C25" s="29"/>
      <c r="D25" s="25"/>
      <c r="E25" s="29"/>
      <c r="F25" s="29"/>
      <c r="G25" s="29"/>
      <c r="H25" s="29"/>
      <c r="I25" s="28"/>
      <c r="J25" s="18">
        <f>Fasce!C23</f>
        <v>0</v>
      </c>
      <c r="K25" s="18">
        <f>Fasce!D23</f>
        <v>0</v>
      </c>
      <c r="L25" s="18">
        <f t="shared" si="0"/>
        <v>0</v>
      </c>
      <c r="M25" s="19" t="str">
        <f>IF(Fasce!F23="","","Vincitore")</f>
        <v/>
      </c>
    </row>
    <row r="26" spans="1:13" ht="30" customHeight="1" x14ac:dyDescent="0.25">
      <c r="A26" s="17" t="s">
        <v>87</v>
      </c>
      <c r="B26" s="29"/>
      <c r="C26" s="29"/>
      <c r="D26" s="25"/>
      <c r="E26" s="29"/>
      <c r="F26" s="29"/>
      <c r="G26" s="29"/>
      <c r="H26" s="29"/>
      <c r="I26" s="28"/>
      <c r="J26" s="18">
        <f>Fasce!C24</f>
        <v>0</v>
      </c>
      <c r="K26" s="18">
        <f>Fasce!D24</f>
        <v>0</v>
      </c>
      <c r="L26" s="18">
        <f t="shared" si="0"/>
        <v>0</v>
      </c>
      <c r="M26" s="19" t="str">
        <f>IF(Fasce!F24="","","Vincitore")</f>
        <v/>
      </c>
    </row>
    <row r="27" spans="1:13" ht="30" customHeight="1" x14ac:dyDescent="0.25">
      <c r="A27" s="17" t="s">
        <v>88</v>
      </c>
      <c r="B27" s="29"/>
      <c r="C27" s="29"/>
      <c r="D27" s="25"/>
      <c r="E27" s="29"/>
      <c r="F27" s="29"/>
      <c r="G27" s="29"/>
      <c r="H27" s="29"/>
      <c r="I27" s="28"/>
      <c r="J27" s="18">
        <f>Fasce!C25</f>
        <v>0</v>
      </c>
      <c r="K27" s="18">
        <f>Fasce!D25</f>
        <v>0</v>
      </c>
      <c r="L27" s="18">
        <f t="shared" si="0"/>
        <v>0</v>
      </c>
      <c r="M27" s="19" t="str">
        <f>IF(Fasce!F25="","","Vincitore")</f>
        <v/>
      </c>
    </row>
    <row r="28" spans="1:13" ht="30" customHeight="1" x14ac:dyDescent="0.25">
      <c r="A28" s="17" t="s">
        <v>89</v>
      </c>
      <c r="B28" s="29"/>
      <c r="C28" s="29"/>
      <c r="D28" s="25"/>
      <c r="E28" s="29"/>
      <c r="F28" s="29"/>
      <c r="G28" s="29"/>
      <c r="H28" s="29"/>
      <c r="I28" s="28"/>
      <c r="J28" s="18">
        <f>Fasce!C26</f>
        <v>0</v>
      </c>
      <c r="K28" s="18">
        <f>Fasce!D26</f>
        <v>0</v>
      </c>
      <c r="L28" s="18">
        <f t="shared" si="0"/>
        <v>0</v>
      </c>
      <c r="M28" s="19" t="str">
        <f>IF(Fasce!F26="","","Vincitore")</f>
        <v/>
      </c>
    </row>
    <row r="29" spans="1:13" ht="30" customHeight="1" x14ac:dyDescent="0.25">
      <c r="A29" s="17" t="s">
        <v>90</v>
      </c>
      <c r="B29" s="29"/>
      <c r="C29" s="29"/>
      <c r="D29" s="25"/>
      <c r="E29" s="29"/>
      <c r="F29" s="29"/>
      <c r="G29" s="29"/>
      <c r="H29" s="29"/>
      <c r="I29" s="28"/>
      <c r="J29" s="18">
        <f>Fasce!C27</f>
        <v>0</v>
      </c>
      <c r="K29" s="18">
        <f>Fasce!D27</f>
        <v>0</v>
      </c>
      <c r="L29" s="18">
        <f t="shared" si="0"/>
        <v>0</v>
      </c>
      <c r="M29" s="19" t="str">
        <f>IF(Fasce!F27="","","Vincitore")</f>
        <v/>
      </c>
    </row>
    <row r="30" spans="1:13" ht="30" customHeight="1" x14ac:dyDescent="0.25">
      <c r="A30" s="17" t="s">
        <v>91</v>
      </c>
      <c r="B30" s="29"/>
      <c r="C30" s="29"/>
      <c r="D30" s="25"/>
      <c r="E30" s="29"/>
      <c r="F30" s="29"/>
      <c r="G30" s="29"/>
      <c r="H30" s="29"/>
      <c r="I30" s="28"/>
      <c r="J30" s="18">
        <f>Fasce!C28</f>
        <v>0</v>
      </c>
      <c r="K30" s="18">
        <f>Fasce!D28</f>
        <v>0</v>
      </c>
      <c r="L30" s="18">
        <f t="shared" si="0"/>
        <v>0</v>
      </c>
      <c r="M30" s="19" t="str">
        <f>IF(Fasce!F28="","","Vincitore")</f>
        <v/>
      </c>
    </row>
    <row r="31" spans="1:13" ht="30" customHeight="1" x14ac:dyDescent="0.25">
      <c r="A31" s="17" t="s">
        <v>92</v>
      </c>
      <c r="B31" s="29"/>
      <c r="C31" s="29"/>
      <c r="D31" s="25"/>
      <c r="E31" s="29"/>
      <c r="F31" s="29"/>
      <c r="G31" s="29"/>
      <c r="H31" s="29"/>
      <c r="I31" s="28"/>
      <c r="J31" s="18">
        <f>Fasce!C29</f>
        <v>0</v>
      </c>
      <c r="K31" s="18">
        <f>Fasce!D29</f>
        <v>0</v>
      </c>
      <c r="L31" s="18">
        <f t="shared" si="0"/>
        <v>0</v>
      </c>
      <c r="M31" s="19" t="str">
        <f>IF(Fasce!F29="","","Vincitore")</f>
        <v/>
      </c>
    </row>
    <row r="32" spans="1:13" ht="30" customHeight="1" x14ac:dyDescent="0.25">
      <c r="A32" s="17" t="s">
        <v>93</v>
      </c>
      <c r="B32" s="29"/>
      <c r="C32" s="29"/>
      <c r="D32" s="25"/>
      <c r="E32" s="29"/>
      <c r="F32" s="29"/>
      <c r="G32" s="29"/>
      <c r="H32" s="29"/>
      <c r="I32" s="28"/>
      <c r="J32" s="18">
        <f>Fasce!C30</f>
        <v>0</v>
      </c>
      <c r="K32" s="18">
        <f>Fasce!D30</f>
        <v>0</v>
      </c>
      <c r="L32" s="18">
        <f t="shared" si="0"/>
        <v>0</v>
      </c>
      <c r="M32" s="19" t="str">
        <f>IF(Fasce!F30="","","Vincitore")</f>
        <v/>
      </c>
    </row>
    <row r="33" spans="1:13" ht="30" customHeight="1" x14ac:dyDescent="0.25">
      <c r="A33" s="17" t="s">
        <v>94</v>
      </c>
      <c r="B33" s="29"/>
      <c r="C33" s="29"/>
      <c r="D33" s="25"/>
      <c r="E33" s="29"/>
      <c r="F33" s="29"/>
      <c r="G33" s="29"/>
      <c r="H33" s="29"/>
      <c r="I33" s="28"/>
      <c r="J33" s="18">
        <f>Fasce!C31</f>
        <v>0</v>
      </c>
      <c r="K33" s="18">
        <f>Fasce!D31</f>
        <v>0</v>
      </c>
      <c r="L33" s="18">
        <f t="shared" si="0"/>
        <v>0</v>
      </c>
      <c r="M33" s="19" t="str">
        <f>IF(Fasce!F31="","","Vincitore")</f>
        <v/>
      </c>
    </row>
    <row r="34" spans="1:13" ht="30" customHeight="1" x14ac:dyDescent="0.25">
      <c r="A34" s="17" t="s">
        <v>95</v>
      </c>
      <c r="B34" s="29"/>
      <c r="C34" s="29"/>
      <c r="D34" s="25"/>
      <c r="E34" s="29"/>
      <c r="F34" s="29"/>
      <c r="G34" s="29"/>
      <c r="H34" s="29"/>
      <c r="I34" s="28"/>
      <c r="J34" s="18">
        <f>Fasce!C32</f>
        <v>0</v>
      </c>
      <c r="K34" s="18">
        <f>Fasce!D32</f>
        <v>0</v>
      </c>
      <c r="L34" s="18">
        <f t="shared" si="0"/>
        <v>0</v>
      </c>
      <c r="M34" s="19" t="str">
        <f>IF(Fasce!F32="","","Vincitore")</f>
        <v/>
      </c>
    </row>
    <row r="35" spans="1:13" x14ac:dyDescent="0.25">
      <c r="J35" s="16"/>
    </row>
    <row r="36" spans="1:13" x14ac:dyDescent="0.25">
      <c r="J36" s="16"/>
    </row>
    <row r="37" spans="1:13" x14ac:dyDescent="0.25">
      <c r="J37" s="16"/>
    </row>
    <row r="38" spans="1:13" ht="15.75" thickBot="1" x14ac:dyDescent="0.3">
      <c r="B38" t="s">
        <v>126</v>
      </c>
      <c r="C38" s="22"/>
      <c r="D38" s="23"/>
      <c r="E38" s="22"/>
      <c r="F38" s="22"/>
      <c r="G38" s="22"/>
      <c r="H38" s="22"/>
    </row>
    <row r="40" spans="1:13" ht="15.75" thickBot="1" x14ac:dyDescent="0.3">
      <c r="B40" t="s">
        <v>54</v>
      </c>
      <c r="C40" s="22"/>
      <c r="D40" s="23"/>
      <c r="E40" s="22"/>
      <c r="F40" s="22"/>
      <c r="G40" s="22"/>
      <c r="H40" s="22"/>
    </row>
    <row r="41" spans="1:13" x14ac:dyDescent="0.25">
      <c r="C41" s="24"/>
    </row>
    <row r="42" spans="1:13" ht="15.75" thickBot="1" x14ac:dyDescent="0.3">
      <c r="B42" t="s">
        <v>55</v>
      </c>
      <c r="C42" s="22"/>
      <c r="D42" s="23"/>
      <c r="E42" s="22"/>
      <c r="F42" s="22"/>
      <c r="G42" s="22"/>
      <c r="H42" s="22"/>
    </row>
  </sheetData>
  <sheetProtection select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Fasce</vt:lpstr>
      <vt:lpstr>Comparazione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Tavernese</dc:creator>
  <cp:lastModifiedBy>Liliana Rigato</cp:lastModifiedBy>
  <dcterms:created xsi:type="dcterms:W3CDTF">2018-02-28T17:08:58Z</dcterms:created>
  <dcterms:modified xsi:type="dcterms:W3CDTF">2023-12-13T07:28:04Z</dcterms:modified>
</cp:coreProperties>
</file>